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4640"/>
  </bookViews>
  <sheets>
    <sheet name="Когорты" sheetId="24" r:id="rId1"/>
    <sheet name="Данные аптека" sheetId="29" r:id="rId2"/>
    <sheet name="Потребность" sheetId="31" r:id="rId3"/>
    <sheet name="Рассчет" sheetId="26" state="hidden" r:id="rId4"/>
  </sheets>
  <definedNames>
    <definedName name="Ccy" localSheetId="1">#REF!</definedName>
    <definedName name="Ccy" localSheetId="2">#REF!</definedName>
    <definedName name="Ccy">#REF!</definedName>
    <definedName name="Cly" localSheetId="2">#REF!</definedName>
    <definedName name="Cly">#REF!</definedName>
    <definedName name="Cny" localSheetId="1">#REF!</definedName>
    <definedName name="Cny" localSheetId="2">#REF!</definedName>
    <definedName name="Cny" localSheetId="3">#REF!</definedName>
    <definedName name="Cny">#REF!</definedName>
    <definedName name="Kb" localSheetId="1">#REF!</definedName>
    <definedName name="Kb" localSheetId="2">#REF!</definedName>
    <definedName name="Kb" localSheetId="3">#REF!</definedName>
    <definedName name="Kb">#REF!</definedName>
    <definedName name="Kd" localSheetId="1">#REF!</definedName>
    <definedName name="Kd" localSheetId="2">#REF!</definedName>
    <definedName name="Kd" localSheetId="3">#REF!</definedName>
    <definedName name="Kd">#REF!</definedName>
    <definedName name="Ki" localSheetId="1">#REF!</definedName>
    <definedName name="Ki" localSheetId="2">#REF!</definedName>
    <definedName name="Ki" localSheetId="3">#REF!</definedName>
    <definedName name="Ki">#REF!</definedName>
    <definedName name="Kr" localSheetId="1">#REF!</definedName>
    <definedName name="Kr" localSheetId="2">#REF!</definedName>
    <definedName name="Kr" localSheetId="3">#REF!</definedName>
    <definedName name="Kr">#REF!</definedName>
    <definedName name="N" localSheetId="2">#REF!</definedName>
    <definedName name="N">#REF!</definedName>
    <definedName name="Na" localSheetId="2">#REF!</definedName>
    <definedName name="Na">#REF!</definedName>
    <definedName name="NB" localSheetId="2">#REF!</definedName>
    <definedName name="NB">#REF!</definedName>
    <definedName name="NDR" localSheetId="2">#REF!</definedName>
    <definedName name="NDR">#REF!</definedName>
    <definedName name="NDS" localSheetId="2">#REF!</definedName>
    <definedName name="NDS">#REF!</definedName>
    <definedName name="NDT" localSheetId="2">#REF!</definedName>
    <definedName name="NDT">#REF!</definedName>
    <definedName name="Z" localSheetId="2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F8" i="29" l="1"/>
  <c r="G76" i="29"/>
  <c r="G80" i="29" s="1"/>
  <c r="F76" i="29"/>
  <c r="F80" i="29" s="1"/>
  <c r="G72" i="29"/>
  <c r="F72" i="29"/>
  <c r="G69" i="29"/>
  <c r="F69" i="29"/>
  <c r="G66" i="29"/>
  <c r="F66" i="29"/>
  <c r="G64" i="29"/>
  <c r="F64" i="29"/>
  <c r="G61" i="29"/>
  <c r="F61" i="29"/>
  <c r="G59" i="29"/>
  <c r="F59" i="29"/>
  <c r="G53" i="29"/>
  <c r="F53" i="29"/>
  <c r="G32" i="29"/>
  <c r="F32" i="29"/>
  <c r="G25" i="29"/>
  <c r="F25" i="29"/>
  <c r="G22" i="29"/>
  <c r="F22" i="29"/>
  <c r="G20" i="29"/>
  <c r="F20" i="29"/>
  <c r="G17" i="29"/>
  <c r="F17" i="29"/>
  <c r="G12" i="29"/>
  <c r="F12" i="29"/>
  <c r="G8" i="29"/>
  <c r="E15" i="29" l="1"/>
  <c r="E16" i="29"/>
  <c r="I16" i="29" s="1"/>
  <c r="J16" i="29" s="1"/>
  <c r="E14" i="29"/>
  <c r="E13" i="29"/>
  <c r="I62" i="29"/>
  <c r="J62" i="29" s="1"/>
  <c r="I63" i="29"/>
  <c r="J63" i="29" s="1"/>
  <c r="I65" i="29"/>
  <c r="J65" i="29" s="1"/>
  <c r="J66" i="29" s="1"/>
  <c r="I67" i="29"/>
  <c r="J67" i="29" s="1"/>
  <c r="I68" i="29"/>
  <c r="J68" i="29" s="1"/>
  <c r="I70" i="29"/>
  <c r="J70" i="29" s="1"/>
  <c r="J72" i="29" s="1"/>
  <c r="I71" i="29"/>
  <c r="J71" i="29" s="1"/>
  <c r="I73" i="29"/>
  <c r="J73" i="29" s="1"/>
  <c r="I74" i="29"/>
  <c r="J74" i="29" s="1"/>
  <c r="I75" i="29"/>
  <c r="J75" i="29" s="1"/>
  <c r="I77" i="29"/>
  <c r="J77" i="29" s="1"/>
  <c r="I78" i="29"/>
  <c r="J78" i="29" s="1"/>
  <c r="I79" i="29"/>
  <c r="J79" i="29" s="1"/>
  <c r="H62" i="29"/>
  <c r="I23" i="29"/>
  <c r="J23" i="29" s="1"/>
  <c r="F3" i="26"/>
  <c r="G3" i="26"/>
  <c r="I3" i="26"/>
  <c r="M3" i="26"/>
  <c r="G4" i="26"/>
  <c r="G5" i="26" s="1"/>
  <c r="G6" i="26" s="1"/>
  <c r="G7" i="26" s="1"/>
  <c r="G8" i="26" s="1"/>
  <c r="I4" i="26"/>
  <c r="M4" i="26"/>
  <c r="I5" i="26"/>
  <c r="M5" i="26"/>
  <c r="I6" i="26"/>
  <c r="M6" i="26"/>
  <c r="I7" i="26"/>
  <c r="M7" i="26"/>
  <c r="I8" i="26"/>
  <c r="M8" i="26"/>
  <c r="I9" i="26"/>
  <c r="M9" i="26"/>
  <c r="I10" i="26"/>
  <c r="M10" i="26"/>
  <c r="M11" i="26"/>
  <c r="M12" i="26"/>
  <c r="I60" i="29"/>
  <c r="I61" i="29" s="1"/>
  <c r="I58" i="29"/>
  <c r="J58" i="29" s="1"/>
  <c r="I57" i="29"/>
  <c r="I56" i="29"/>
  <c r="J56" i="29" s="1"/>
  <c r="I55" i="29"/>
  <c r="J55" i="29" s="1"/>
  <c r="I54" i="29"/>
  <c r="J54" i="29" s="1"/>
  <c r="I34" i="29"/>
  <c r="J34" i="29" s="1"/>
  <c r="I31" i="29"/>
  <c r="J31" i="29" s="1"/>
  <c r="I30" i="29"/>
  <c r="J30" i="29" s="1"/>
  <c r="I29" i="29"/>
  <c r="J29" i="29" s="1"/>
  <c r="I28" i="29"/>
  <c r="J28" i="29" s="1"/>
  <c r="I27" i="29"/>
  <c r="I26" i="29"/>
  <c r="J26" i="29" s="1"/>
  <c r="I24" i="29"/>
  <c r="J24" i="29" s="1"/>
  <c r="I21" i="29"/>
  <c r="I22" i="29" s="1"/>
  <c r="I19" i="29"/>
  <c r="I18" i="29"/>
  <c r="J18" i="29" s="1"/>
  <c r="I15" i="29"/>
  <c r="J15" i="29" s="1"/>
  <c r="I14" i="29"/>
  <c r="I13" i="29"/>
  <c r="J13" i="29" s="1"/>
  <c r="I11" i="29"/>
  <c r="J11" i="29" s="1"/>
  <c r="I10" i="29"/>
  <c r="J10" i="29" s="1"/>
  <c r="I9" i="29"/>
  <c r="J9" i="29" s="1"/>
  <c r="I7" i="29"/>
  <c r="J7" i="29" s="1"/>
  <c r="I6" i="29"/>
  <c r="J6" i="29" s="1"/>
  <c r="I5" i="29"/>
  <c r="J5" i="29" s="1"/>
  <c r="I4" i="29"/>
  <c r="J4" i="29" s="1"/>
  <c r="I3" i="29"/>
  <c r="H4" i="29"/>
  <c r="M18" i="26"/>
  <c r="M17" i="26"/>
  <c r="M14" i="26"/>
  <c r="M16" i="26"/>
  <c r="M15" i="26"/>
  <c r="M13" i="26"/>
  <c r="F4" i="26" l="1"/>
  <c r="F5" i="26" s="1"/>
  <c r="F6" i="26" s="1"/>
  <c r="F7" i="26" s="1"/>
  <c r="F8" i="26" s="1"/>
  <c r="F9" i="26" s="1"/>
  <c r="F10" i="26" s="1"/>
  <c r="F11" i="26" s="1"/>
  <c r="F12" i="26" s="1"/>
  <c r="J69" i="29"/>
  <c r="J64" i="29"/>
  <c r="J76" i="29"/>
  <c r="J80" i="29" s="1"/>
  <c r="O18" i="26" s="1"/>
  <c r="I64" i="29"/>
  <c r="I69" i="29"/>
  <c r="I76" i="29"/>
  <c r="I80" i="29" s="1"/>
  <c r="I66" i="29"/>
  <c r="I72" i="29"/>
  <c r="O17" i="26"/>
  <c r="O13" i="26"/>
  <c r="O15" i="26"/>
  <c r="O16" i="26"/>
  <c r="O14" i="26"/>
  <c r="J25" i="29"/>
  <c r="O8" i="26" s="1"/>
  <c r="I32" i="29"/>
  <c r="I59" i="29"/>
  <c r="J21" i="29"/>
  <c r="J22" i="29" s="1"/>
  <c r="I20" i="29"/>
  <c r="I17" i="29"/>
  <c r="J12" i="29"/>
  <c r="I8" i="29"/>
  <c r="G9" i="26"/>
  <c r="G10" i="26" s="1"/>
  <c r="J57" i="29"/>
  <c r="J59" i="29" s="1"/>
  <c r="J27" i="29"/>
  <c r="J32" i="29" s="1"/>
  <c r="J19" i="29"/>
  <c r="J20" i="29" s="1"/>
  <c r="J14" i="29"/>
  <c r="J17" i="29" s="1"/>
  <c r="J60" i="29"/>
  <c r="J61" i="29" s="1"/>
  <c r="I12" i="29"/>
  <c r="I25" i="29"/>
  <c r="J3" i="29"/>
  <c r="J8" i="29" s="1"/>
  <c r="I14" i="24"/>
  <c r="I13" i="24"/>
  <c r="H70" i="29"/>
  <c r="H71" i="29"/>
  <c r="O12" i="26" l="1"/>
  <c r="O11" i="26"/>
  <c r="O9" i="26"/>
  <c r="O7" i="26"/>
  <c r="O6" i="26"/>
  <c r="O5" i="26"/>
  <c r="O4" i="26"/>
  <c r="O3" i="26"/>
  <c r="H72" i="29"/>
  <c r="I11" i="24"/>
  <c r="I12" i="24"/>
  <c r="I10" i="24"/>
  <c r="F19" i="24"/>
  <c r="G19" i="24"/>
  <c r="E19" i="24"/>
  <c r="D19" i="24"/>
  <c r="C19" i="24"/>
  <c r="H19" i="24"/>
  <c r="I15" i="24" l="1"/>
  <c r="J4" i="26" l="1"/>
  <c r="K4" i="26" s="1"/>
  <c r="J8" i="26"/>
  <c r="K8" i="26" s="1"/>
  <c r="C8" i="26" s="1"/>
  <c r="L8" i="26" s="1"/>
  <c r="J7" i="26"/>
  <c r="K7" i="26" s="1"/>
  <c r="J5" i="26"/>
  <c r="K5" i="26" s="1"/>
  <c r="J9" i="26"/>
  <c r="K9" i="26" s="1"/>
  <c r="J11" i="26"/>
  <c r="D11" i="26" s="1"/>
  <c r="Q11" i="26" s="1"/>
  <c r="J6" i="26"/>
  <c r="K6" i="26" s="1"/>
  <c r="J10" i="26"/>
  <c r="K10" i="26" s="1"/>
  <c r="J3" i="26"/>
  <c r="J12" i="26"/>
  <c r="J17" i="26"/>
  <c r="J16" i="26"/>
  <c r="J18" i="26"/>
  <c r="J14" i="26"/>
  <c r="J15" i="26"/>
  <c r="J13" i="26"/>
  <c r="H73" i="29"/>
  <c r="H74" i="29"/>
  <c r="H75" i="29"/>
  <c r="H77" i="29"/>
  <c r="H78" i="29"/>
  <c r="H79" i="29"/>
  <c r="H24" i="29"/>
  <c r="H3" i="29"/>
  <c r="K3" i="26" l="1"/>
  <c r="N11" i="26"/>
  <c r="H76" i="29"/>
  <c r="H80" i="29" s="1"/>
  <c r="C3" i="26" l="1"/>
  <c r="L3" i="26" s="1"/>
  <c r="H5" i="29"/>
  <c r="H6" i="29"/>
  <c r="N3" i="26" l="1"/>
  <c r="C4" i="26"/>
  <c r="L4" i="26" s="1"/>
  <c r="H68" i="29"/>
  <c r="H67" i="29"/>
  <c r="H65" i="29"/>
  <c r="H66" i="29" s="1"/>
  <c r="H69" i="29" l="1"/>
  <c r="N4" i="26"/>
  <c r="C5" i="26"/>
  <c r="L5" i="26" s="1"/>
  <c r="E33" i="29"/>
  <c r="I33" i="29" s="1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H7" i="29"/>
  <c r="H8" i="29" s="1"/>
  <c r="H9" i="29"/>
  <c r="H10" i="29"/>
  <c r="H11" i="29"/>
  <c r="H13" i="29"/>
  <c r="H14" i="29"/>
  <c r="H15" i="29"/>
  <c r="H16" i="29"/>
  <c r="H18" i="29"/>
  <c r="H19" i="29"/>
  <c r="H21" i="29"/>
  <c r="H22" i="29" s="1"/>
  <c r="H23" i="29"/>
  <c r="H25" i="29" s="1"/>
  <c r="D8" i="26" s="1"/>
  <c r="H26" i="29"/>
  <c r="H27" i="29"/>
  <c r="H28" i="29"/>
  <c r="H29" i="29"/>
  <c r="H30" i="29"/>
  <c r="H31" i="29"/>
  <c r="H34" i="29"/>
  <c r="H54" i="29"/>
  <c r="H55" i="29"/>
  <c r="H56" i="29"/>
  <c r="H57" i="29"/>
  <c r="H58" i="29"/>
  <c r="H60" i="29"/>
  <c r="H61" i="29" s="1"/>
  <c r="H63" i="29"/>
  <c r="H64" i="29" s="1"/>
  <c r="E3" i="26" l="1"/>
  <c r="D3" i="31" s="1"/>
  <c r="D3" i="26"/>
  <c r="Q3" i="26" s="1"/>
  <c r="C8" i="31"/>
  <c r="Q8" i="26"/>
  <c r="P8" i="26" s="1"/>
  <c r="E8" i="31" s="1"/>
  <c r="H41" i="29"/>
  <c r="I41" i="29"/>
  <c r="J41" i="29" s="1"/>
  <c r="J33" i="29"/>
  <c r="H38" i="29"/>
  <c r="I38" i="29"/>
  <c r="J38" i="29" s="1"/>
  <c r="H42" i="29"/>
  <c r="I42" i="29"/>
  <c r="J42" i="29" s="1"/>
  <c r="H46" i="29"/>
  <c r="I46" i="29"/>
  <c r="J46" i="29" s="1"/>
  <c r="H50" i="29"/>
  <c r="I50" i="29"/>
  <c r="J50" i="29" s="1"/>
  <c r="H45" i="29"/>
  <c r="I45" i="29"/>
  <c r="J45" i="29" s="1"/>
  <c r="H35" i="29"/>
  <c r="I35" i="29"/>
  <c r="J35" i="29" s="1"/>
  <c r="H39" i="29"/>
  <c r="I39" i="29"/>
  <c r="J39" i="29" s="1"/>
  <c r="H43" i="29"/>
  <c r="I43" i="29"/>
  <c r="J43" i="29" s="1"/>
  <c r="H47" i="29"/>
  <c r="I47" i="29"/>
  <c r="J47" i="29" s="1"/>
  <c r="H51" i="29"/>
  <c r="I51" i="29"/>
  <c r="J51" i="29" s="1"/>
  <c r="H37" i="29"/>
  <c r="I37" i="29"/>
  <c r="J37" i="29" s="1"/>
  <c r="H49" i="29"/>
  <c r="I49" i="29"/>
  <c r="J49" i="29" s="1"/>
  <c r="H33" i="29"/>
  <c r="H36" i="29"/>
  <c r="I36" i="29"/>
  <c r="J36" i="29" s="1"/>
  <c r="H40" i="29"/>
  <c r="I40" i="29"/>
  <c r="J40" i="29" s="1"/>
  <c r="H44" i="29"/>
  <c r="I44" i="29"/>
  <c r="J44" i="29" s="1"/>
  <c r="H48" i="29"/>
  <c r="I48" i="29"/>
  <c r="J48" i="29" s="1"/>
  <c r="H52" i="29"/>
  <c r="I52" i="29"/>
  <c r="J52" i="29" s="1"/>
  <c r="N5" i="26"/>
  <c r="C6" i="26"/>
  <c r="L6" i="26" s="1"/>
  <c r="H32" i="29"/>
  <c r="H20" i="29"/>
  <c r="H59" i="29"/>
  <c r="C11" i="26" s="1"/>
  <c r="C11" i="31" s="1"/>
  <c r="H12" i="29"/>
  <c r="H17" i="29"/>
  <c r="C3" i="31" l="1"/>
  <c r="D6" i="26"/>
  <c r="P11" i="26"/>
  <c r="E11" i="31" s="1"/>
  <c r="E5" i="26"/>
  <c r="D5" i="31" s="1"/>
  <c r="D5" i="26"/>
  <c r="E4" i="26"/>
  <c r="D4" i="31" s="1"/>
  <c r="D4" i="26"/>
  <c r="H53" i="29"/>
  <c r="J53" i="29"/>
  <c r="I53" i="29"/>
  <c r="N6" i="26"/>
  <c r="E6" i="26" s="1"/>
  <c r="D6" i="31" s="1"/>
  <c r="C7" i="26"/>
  <c r="L7" i="26" s="1"/>
  <c r="D7" i="26" s="1"/>
  <c r="C6" i="31" l="1"/>
  <c r="Q6" i="26"/>
  <c r="P6" i="26" s="1"/>
  <c r="E6" i="31" s="1"/>
  <c r="C4" i="31"/>
  <c r="Q4" i="26"/>
  <c r="P4" i="26" s="1"/>
  <c r="E4" i="31" s="1"/>
  <c r="C7" i="31"/>
  <c r="Q7" i="26"/>
  <c r="P7" i="26" s="1"/>
  <c r="E7" i="31" s="1"/>
  <c r="C5" i="31"/>
  <c r="Q5" i="26"/>
  <c r="P5" i="26" s="1"/>
  <c r="E5" i="31" s="1"/>
  <c r="O10" i="26"/>
  <c r="N7" i="26"/>
  <c r="E7" i="26" s="1"/>
  <c r="D7" i="31" s="1"/>
  <c r="N8" i="26" l="1"/>
  <c r="E8" i="26" s="1"/>
  <c r="D8" i="31" s="1"/>
  <c r="C10" i="26"/>
  <c r="L10" i="26" s="1"/>
  <c r="D10" i="26" s="1"/>
  <c r="C9" i="26"/>
  <c r="L9" i="26" s="1"/>
  <c r="C10" i="31" l="1"/>
  <c r="Q10" i="26"/>
  <c r="P10" i="26" s="1"/>
  <c r="E10" i="31" s="1"/>
  <c r="D9" i="26"/>
  <c r="N10" i="26"/>
  <c r="E10" i="26" s="1"/>
  <c r="D10" i="31" s="1"/>
  <c r="N9" i="26"/>
  <c r="E9" i="26" s="1"/>
  <c r="D9" i="31" s="1"/>
  <c r="C9" i="31" l="1"/>
  <c r="Q9" i="26"/>
  <c r="P9" i="26" s="1"/>
  <c r="E9" i="31" s="1"/>
  <c r="L12" i="26"/>
  <c r="E11" i="26"/>
  <c r="D11" i="31" s="1"/>
  <c r="D12" i="26" l="1"/>
  <c r="L13" i="26"/>
  <c r="L14" i="26" s="1"/>
  <c r="L15" i="26" s="1"/>
  <c r="L16" i="26" s="1"/>
  <c r="L17" i="26" s="1"/>
  <c r="L18" i="26" s="1"/>
  <c r="F13" i="26"/>
  <c r="C12" i="26" l="1"/>
  <c r="C12" i="31" s="1"/>
  <c r="Q12" i="26"/>
  <c r="P12" i="26" s="1"/>
  <c r="E12" i="31" s="1"/>
  <c r="N12" i="26"/>
  <c r="E12" i="26" s="1"/>
  <c r="D12" i="31" s="1"/>
  <c r="D13" i="26"/>
  <c r="F14" i="26"/>
  <c r="D14" i="26" s="1"/>
  <c r="C14" i="26" l="1"/>
  <c r="C14" i="31" s="1"/>
  <c r="Q14" i="26"/>
  <c r="P14" i="26" s="1"/>
  <c r="E14" i="31" s="1"/>
  <c r="C13" i="26"/>
  <c r="C13" i="31" s="1"/>
  <c r="Q13" i="26"/>
  <c r="P13" i="26" s="1"/>
  <c r="E13" i="31" s="1"/>
  <c r="N13" i="26"/>
  <c r="E13" i="26" s="1"/>
  <c r="D13" i="31" s="1"/>
  <c r="F15" i="26"/>
  <c r="F16" i="26" l="1"/>
  <c r="D16" i="26" s="1"/>
  <c r="D15" i="26"/>
  <c r="N14" i="26"/>
  <c r="E14" i="26" s="1"/>
  <c r="D14" i="31" s="1"/>
  <c r="C16" i="26" l="1"/>
  <c r="C16" i="31" s="1"/>
  <c r="Q16" i="26"/>
  <c r="P16" i="26" s="1"/>
  <c r="E16" i="31" s="1"/>
  <c r="C15" i="26"/>
  <c r="C15" i="31" s="1"/>
  <c r="Q15" i="26"/>
  <c r="P15" i="26" s="1"/>
  <c r="E15" i="31" s="1"/>
  <c r="F17" i="26"/>
  <c r="F18" i="26" s="1"/>
  <c r="D18" i="26" s="1"/>
  <c r="N16" i="26"/>
  <c r="E16" i="26" s="1"/>
  <c r="D16" i="31" s="1"/>
  <c r="N15" i="26"/>
  <c r="E15" i="26" s="1"/>
  <c r="D15" i="31" s="1"/>
  <c r="C18" i="26" l="1"/>
  <c r="C18" i="31" s="1"/>
  <c r="Q18" i="26"/>
  <c r="P18" i="26" s="1"/>
  <c r="E18" i="31" s="1"/>
  <c r="D17" i="26"/>
  <c r="N18" i="26"/>
  <c r="E18" i="26" s="1"/>
  <c r="D18" i="31" s="1"/>
  <c r="C17" i="26" l="1"/>
  <c r="C17" i="31" s="1"/>
  <c r="Q17" i="26"/>
  <c r="P17" i="26" s="1"/>
  <c r="E17" i="31" s="1"/>
  <c r="N17" i="26"/>
  <c r="E17" i="26" s="1"/>
  <c r="D17" i="31" s="1"/>
  <c r="P3" i="26"/>
  <c r="E3" i="31" s="1"/>
</calcChain>
</file>

<file path=xl/sharedStrings.xml><?xml version="1.0" encoding="utf-8"?>
<sst xmlns="http://schemas.openxmlformats.org/spreadsheetml/2006/main" count="316" uniqueCount="155">
  <si>
    <t>Когорта больных, взятых на лечениен в 2015 году</t>
  </si>
  <si>
    <t>Когорта больных, взятых на лечениен в 2014 году</t>
  </si>
  <si>
    <t>Ccy</t>
  </si>
  <si>
    <t>Cly</t>
  </si>
  <si>
    <t>N</t>
  </si>
  <si>
    <t>Z</t>
  </si>
  <si>
    <t>Количество единиц (таблеток, капсул, флаконов) препарата в день</t>
  </si>
  <si>
    <t>NDS</t>
  </si>
  <si>
    <t>Левофлоксацин</t>
  </si>
  <si>
    <t>Спарфлоксацин</t>
  </si>
  <si>
    <t>Циклосерин</t>
  </si>
  <si>
    <t>Теризидон</t>
  </si>
  <si>
    <t>Протионамид</t>
  </si>
  <si>
    <t>Когорта больных, взятых на лечениен в 2013 году</t>
  </si>
  <si>
    <t>Потребность в лекарственном препарате 2016</t>
  </si>
  <si>
    <r>
      <t>Р</t>
    </r>
    <r>
      <rPr>
        <sz val="6"/>
        <color theme="1"/>
        <rFont val="Times New Roman"/>
        <family val="1"/>
        <charset val="204"/>
      </rPr>
      <t>0</t>
    </r>
  </si>
  <si>
    <t>P</t>
  </si>
  <si>
    <t>Cny</t>
  </si>
  <si>
    <t>Kb</t>
  </si>
  <si>
    <t>Kd</t>
  </si>
  <si>
    <t>Kr</t>
  </si>
  <si>
    <t>Потребность в лекарственном препарате 2015 (рассчетная)</t>
  </si>
  <si>
    <t>№ п/п</t>
  </si>
  <si>
    <t>МНН</t>
  </si>
  <si>
    <t>Форма выпуска</t>
  </si>
  <si>
    <t>Дозировка</t>
  </si>
  <si>
    <t>табл.</t>
  </si>
  <si>
    <t>0,25 г</t>
  </si>
  <si>
    <t>0,5 г</t>
  </si>
  <si>
    <t xml:space="preserve">Моксифлоксацин </t>
  </si>
  <si>
    <t>0,4 г</t>
  </si>
  <si>
    <t>0,2 г</t>
  </si>
  <si>
    <t>Амикацин</t>
  </si>
  <si>
    <t>фл.</t>
  </si>
  <si>
    <t>Канамицин</t>
  </si>
  <si>
    <t>Капреомицин</t>
  </si>
  <si>
    <t>драже, табл.</t>
  </si>
  <si>
    <t>капс.</t>
  </si>
  <si>
    <t>0,125 г</t>
  </si>
  <si>
    <t>Аминосалициловая кислота</t>
  </si>
  <si>
    <t>Аминосалициловая кислота*</t>
  </si>
  <si>
    <t>пак.</t>
  </si>
  <si>
    <t>400,0 г</t>
  </si>
  <si>
    <t>Линезолид</t>
  </si>
  <si>
    <t>Бедаквилин</t>
  </si>
  <si>
    <t>таблетки</t>
  </si>
  <si>
    <t>0,1 г</t>
  </si>
  <si>
    <t>Тиоуреидоиминометилпиридиния перхлорат</t>
  </si>
  <si>
    <t>фл. или амп.</t>
  </si>
  <si>
    <t>1,0 г</t>
  </si>
  <si>
    <t>0,75 г</t>
  </si>
  <si>
    <t>раствор для инфузий</t>
  </si>
  <si>
    <t>5 мг/мл - 100,0</t>
  </si>
  <si>
    <t>1,6 мг/мл - 250,0</t>
  </si>
  <si>
    <t>0,15 г</t>
  </si>
  <si>
    <t>0,3 г</t>
  </si>
  <si>
    <t>лиоф. фл.</t>
  </si>
  <si>
    <t>13,49 г</t>
  </si>
  <si>
    <t>11,72 г</t>
  </si>
  <si>
    <t>3,0 г</t>
  </si>
  <si>
    <t>30мг/мл -200,0</t>
  </si>
  <si>
    <t>30мг/мл -400,0</t>
  </si>
  <si>
    <t>2,4 г</t>
  </si>
  <si>
    <t>3,2 г</t>
  </si>
  <si>
    <t>3,3 г</t>
  </si>
  <si>
    <t>3,6 г</t>
  </si>
  <si>
    <t>4,0 г</t>
  </si>
  <si>
    <t>5,0 г</t>
  </si>
  <si>
    <t>5,5 г</t>
  </si>
  <si>
    <t>60,0 г</t>
  </si>
  <si>
    <t>банка, пак.</t>
  </si>
  <si>
    <t>80,0 г</t>
  </si>
  <si>
    <t>100,0 г</t>
  </si>
  <si>
    <t>300,0 г</t>
  </si>
  <si>
    <t>0,6 г</t>
  </si>
  <si>
    <t>2 мг/мл - 100,0</t>
  </si>
  <si>
    <t>2 мг/мл - 300,0</t>
  </si>
  <si>
    <r>
      <t>Kb</t>
    </r>
    <r>
      <rPr>
        <sz val="6"/>
        <color rgb="FFFF0000"/>
        <rFont val="Times New Roman"/>
        <family val="1"/>
        <charset val="204"/>
      </rPr>
      <t>0</t>
    </r>
  </si>
  <si>
    <r>
      <t>Kd</t>
    </r>
    <r>
      <rPr>
        <sz val="6"/>
        <color rgb="FFFF0000"/>
        <rFont val="Times New Roman"/>
        <family val="1"/>
        <charset val="204"/>
      </rPr>
      <t>0</t>
    </r>
  </si>
  <si>
    <r>
      <t>Cny</t>
    </r>
    <r>
      <rPr>
        <sz val="6"/>
        <color rgb="FFFF0000"/>
        <rFont val="Times New Roman"/>
        <family val="1"/>
        <charset val="204"/>
      </rPr>
      <t>0</t>
    </r>
  </si>
  <si>
    <t>Остаток препарата на начало 2016 года в суточных дозах</t>
  </si>
  <si>
    <t>Информация о больных МЛУ/ШЛУ ТБ в регионе</t>
  </si>
  <si>
    <t>Показатель</t>
  </si>
  <si>
    <t>Значение, абс</t>
  </si>
  <si>
    <r>
      <t>Cly</t>
    </r>
    <r>
      <rPr>
        <sz val="8"/>
        <color theme="1"/>
        <rFont val="Times New Roman"/>
        <family val="1"/>
        <charset val="204"/>
      </rPr>
      <t>0</t>
    </r>
  </si>
  <si>
    <t>Имипенем с циластатином</t>
  </si>
  <si>
    <t>500 мг</t>
  </si>
  <si>
    <t>Меропенем</t>
  </si>
  <si>
    <t>1000 мг</t>
  </si>
  <si>
    <t>Zn</t>
  </si>
  <si>
    <t>500+500 мг</t>
  </si>
  <si>
    <t>Канамицин/Амикацин</t>
  </si>
  <si>
    <t>Этионамид</t>
  </si>
  <si>
    <t>Протионамид/Этионамид</t>
  </si>
  <si>
    <t>Теризидон/Циклосерин</t>
  </si>
  <si>
    <t>Глутоксим</t>
  </si>
  <si>
    <t>Пиридоксин</t>
  </si>
  <si>
    <t>амп</t>
  </si>
  <si>
    <t>1%-1,0</t>
  </si>
  <si>
    <t>5%-1,0</t>
  </si>
  <si>
    <t>10 мг</t>
  </si>
  <si>
    <t>5 мг/мл - 1,0</t>
  </si>
  <si>
    <t>10 мг/мл - 1,0</t>
  </si>
  <si>
    <t>30 мг/мл - 2,0</t>
  </si>
  <si>
    <t>Пиридоксин (для МЛУ/ШЛУ)</t>
  </si>
  <si>
    <t>Регистрационные группы случаев лечения туберкулёза</t>
  </si>
  <si>
    <t>№ стро-ки</t>
  </si>
  <si>
    <t>Всего</t>
  </si>
  <si>
    <t>от тубер-кулёза</t>
  </si>
  <si>
    <t>не от тубер-кулёза</t>
  </si>
  <si>
    <t>Впервые выявленные</t>
  </si>
  <si>
    <t>Рецидив</t>
  </si>
  <si>
    <t>После неэффективного курса химиотерапии</t>
  </si>
  <si>
    <t>После прерывания курса химиотерапии</t>
  </si>
  <si>
    <t>Прочие</t>
  </si>
  <si>
    <t>Заполнить из ВР-5МЛУ Сведения о результатах лечения пациентов, страдающих туберкулёзом, по IV режиму химиотерапии. т. 1000 Отчёт о результатах случаев лечения туберкулёза по IV режиму химиотерапии, зарегистрированных в 2013 году (два года назад)</t>
  </si>
  <si>
    <t>Потребность в лекарственном                               препарате на 2016 в суточных дозах</t>
  </si>
  <si>
    <t>Амоксициллин + Клавулановая кислота</t>
  </si>
  <si>
    <t>500+125 мг</t>
  </si>
  <si>
    <t>875+125 мг</t>
  </si>
  <si>
    <t xml:space="preserve">Зарегист-рировано случаев за 2013г. </t>
  </si>
  <si>
    <t>Умерло (2013):</t>
  </si>
  <si>
    <t>Прервало курс лече-ния (2013)</t>
  </si>
  <si>
    <t>Выбыло (2013)</t>
  </si>
  <si>
    <t>Диаг-ноз тубер-кулёза снят (2013)</t>
  </si>
  <si>
    <t>Всего оторвавшихся в 2013г.</t>
  </si>
  <si>
    <t>NDR</t>
  </si>
  <si>
    <t>NDR1</t>
  </si>
  <si>
    <r>
      <t>P</t>
    </r>
    <r>
      <rPr>
        <sz val="7"/>
        <color indexed="8"/>
        <rFont val="Times New Roman"/>
        <family val="1"/>
        <charset val="204"/>
      </rPr>
      <t>0иa</t>
    </r>
  </si>
  <si>
    <r>
      <t>К</t>
    </r>
    <r>
      <rPr>
        <sz val="7"/>
        <color indexed="8"/>
        <rFont val="Times New Roman"/>
        <family val="1"/>
        <charset val="204"/>
      </rPr>
      <t>ra</t>
    </r>
  </si>
  <si>
    <t>Использовано препарата за 2015 год в суточных дозах</t>
  </si>
  <si>
    <t>NDSд</t>
  </si>
  <si>
    <t>Пациентов на полный курс</t>
  </si>
  <si>
    <t>Пролечено больных рассчетное</t>
  </si>
  <si>
    <t xml:space="preserve">Когорта больных, которые будут взяты на лечение в 2016 году </t>
  </si>
  <si>
    <t xml:space="preserve">Когорта больных, которые будут взяты на лечение в 2015 году (прогнозная) </t>
  </si>
  <si>
    <t xml:space="preserve">Базовый коэффициент </t>
  </si>
  <si>
    <t>Базовый коэффициент (предыдущий период)</t>
  </si>
  <si>
    <t xml:space="preserve">Коэффициент досрочного прекращения лечения </t>
  </si>
  <si>
    <t>Коэффициент досрочного прекращения лечения (предыдущий период)</t>
  </si>
  <si>
    <t>Коэффициент реального потребления</t>
  </si>
  <si>
    <t>Расчетная потребность в препаратах (суточные дозы)</t>
  </si>
  <si>
    <t>Количество прапарата, использованного за 2015 год в единицах (табл, фл., и т.п.)</t>
  </si>
  <si>
    <t>Остаток препарата на начало 2016 года в единицах (табл, фл., и т.п.)</t>
  </si>
  <si>
    <r>
      <t xml:space="preserve">Количество больных МЛУ/ШЛУ на 31.12.2014 </t>
    </r>
    <r>
      <rPr>
        <sz val="11"/>
        <color rgb="FFFF0000"/>
        <rFont val="Times New Roman"/>
        <family val="1"/>
        <charset val="204"/>
      </rPr>
      <t>(из Ф.33)</t>
    </r>
  </si>
  <si>
    <r>
      <t>Количество больных МЛУ/ШЛУ на 31.12.2015</t>
    </r>
    <r>
      <rPr>
        <sz val="11"/>
        <color rgb="FFFF0000"/>
        <rFont val="Times New Roman"/>
        <family val="1"/>
        <charset val="204"/>
      </rPr>
      <t xml:space="preserve"> (из Ф.33)</t>
    </r>
  </si>
  <si>
    <t>Потребность в лекарственном препарате 2015</t>
  </si>
  <si>
    <t>Коэффициент реального потребления рассчет идеал</t>
  </si>
  <si>
    <t>М</t>
  </si>
  <si>
    <r>
      <t>P</t>
    </r>
    <r>
      <rPr>
        <sz val="9"/>
        <color theme="1"/>
        <rFont val="Times New Roman"/>
        <family val="1"/>
        <charset val="204"/>
      </rPr>
      <t>ид</t>
    </r>
  </si>
  <si>
    <t>Потребность целевая</t>
  </si>
  <si>
    <t xml:space="preserve">Базовый коэффициент Kb </t>
  </si>
  <si>
    <t>Базовый коэффициент целевой</t>
  </si>
  <si>
    <t>Больных</t>
  </si>
  <si>
    <t>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</si>
</sst>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4" fillId="10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99">
    <xf numFmtId="0" fontId="0" fillId="0" borderId="0" xfId="0"/>
    <xf numFmtId="2" fontId="1" fillId="0" borderId="0" xfId="0" applyNumberFormat="1" applyFont="1" applyProtection="1"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wrapText="1"/>
      <protection hidden="1"/>
    </xf>
    <xf numFmtId="2" fontId="23" fillId="0" borderId="1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2" fontId="33" fillId="0" borderId="1" xfId="0" applyNumberFormat="1" applyFont="1" applyBorder="1" applyProtection="1">
      <protection hidden="1"/>
    </xf>
    <xf numFmtId="0" fontId="33" fillId="3" borderId="1" xfId="0" applyFont="1" applyFill="1" applyBorder="1" applyAlignment="1" applyProtection="1">
      <alignment horizontal="center" vertical="center"/>
      <protection locked="0" hidden="1"/>
    </xf>
    <xf numFmtId="2" fontId="31" fillId="0" borderId="0" xfId="0" applyNumberFormat="1" applyFont="1" applyAlignment="1" applyProtection="1">
      <alignment vertical="top" wrapText="1"/>
      <protection hidden="1"/>
    </xf>
    <xf numFmtId="2" fontId="0" fillId="0" borderId="0" xfId="0" applyNumberFormat="1" applyAlignment="1" applyProtection="1">
      <alignment wrapText="1"/>
      <protection hidden="1"/>
    </xf>
    <xf numFmtId="2" fontId="31" fillId="0" borderId="13" xfId="0" applyNumberFormat="1" applyFont="1" applyBorder="1" applyAlignment="1" applyProtection="1">
      <alignment vertical="top" wrapText="1"/>
      <protection hidden="1"/>
    </xf>
    <xf numFmtId="2" fontId="28" fillId="0" borderId="1" xfId="0" applyNumberFormat="1" applyFont="1" applyBorder="1" applyAlignment="1" applyProtection="1">
      <alignment horizontal="center" vertical="center" wrapText="1"/>
      <protection hidden="1"/>
    </xf>
    <xf numFmtId="2" fontId="30" fillId="0" borderId="1" xfId="0" applyNumberFormat="1" applyFont="1" applyBorder="1" applyAlignment="1" applyProtection="1">
      <alignment horizontal="center" vertical="center" wrapText="1"/>
      <protection hidden="1"/>
    </xf>
    <xf numFmtId="2" fontId="30" fillId="0" borderId="1" xfId="0" applyNumberFormat="1" applyFont="1" applyBorder="1" applyAlignment="1" applyProtection="1">
      <alignment horizontal="justify" vertical="center" wrapText="1"/>
      <protection hidden="1"/>
    </xf>
    <xf numFmtId="1" fontId="28" fillId="0" borderId="1" xfId="0" applyNumberFormat="1" applyFont="1" applyBorder="1" applyAlignment="1" applyProtection="1">
      <alignment horizontal="center" vertical="center" wrapText="1"/>
      <protection hidden="1"/>
    </xf>
    <xf numFmtId="1" fontId="28" fillId="37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1" xfId="0" applyNumberFormat="1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23" fillId="35" borderId="1" xfId="0" applyFont="1" applyFill="1" applyBorder="1" applyAlignment="1" applyProtection="1">
      <alignment horizontal="left" textRotation="90" wrapText="1"/>
      <protection hidden="1"/>
    </xf>
    <xf numFmtId="0" fontId="23" fillId="0" borderId="1" xfId="0" applyFont="1" applyFill="1" applyBorder="1" applyAlignment="1" applyProtection="1">
      <alignment horizontal="left" textRotation="90" wrapText="1"/>
      <protection hidden="1"/>
    </xf>
    <xf numFmtId="0" fontId="23" fillId="0" borderId="1" xfId="0" applyFont="1" applyBorder="1" applyAlignment="1" applyProtection="1">
      <alignment horizontal="left" textRotation="90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3" fillId="0" borderId="1" xfId="0" applyFont="1" applyBorder="1" applyAlignment="1" applyProtection="1">
      <alignment wrapText="1"/>
      <protection hidden="1"/>
    </xf>
    <xf numFmtId="0" fontId="23" fillId="0" borderId="0" xfId="0" applyFont="1" applyProtection="1">
      <protection hidden="1"/>
    </xf>
    <xf numFmtId="0" fontId="23" fillId="35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3" fontId="23" fillId="35" borderId="1" xfId="0" applyNumberFormat="1" applyFont="1" applyFill="1" applyBorder="1" applyAlignment="1" applyProtection="1">
      <alignment horizontal="center" vertical="center"/>
      <protection hidden="1"/>
    </xf>
    <xf numFmtId="3" fontId="23" fillId="3" borderId="1" xfId="0" applyNumberFormat="1" applyFont="1" applyFill="1" applyBorder="1" applyProtection="1">
      <protection locked="0" hidden="1"/>
    </xf>
    <xf numFmtId="3" fontId="23" fillId="0" borderId="1" xfId="0" applyNumberFormat="1" applyFont="1" applyFill="1" applyBorder="1" applyProtection="1">
      <protection hidden="1"/>
    </xf>
    <xf numFmtId="0" fontId="23" fillId="0" borderId="1" xfId="0" applyFont="1" applyBorder="1" applyProtection="1">
      <protection hidden="1"/>
    </xf>
    <xf numFmtId="0" fontId="23" fillId="36" borderId="1" xfId="0" applyFont="1" applyFill="1" applyBorder="1" applyAlignment="1" applyProtection="1">
      <alignment horizontal="center" vertical="center"/>
      <protection hidden="1"/>
    </xf>
    <xf numFmtId="0" fontId="24" fillId="36" borderId="1" xfId="0" applyFont="1" applyFill="1" applyBorder="1" applyAlignment="1" applyProtection="1">
      <alignment horizontal="left"/>
      <protection hidden="1"/>
    </xf>
    <xf numFmtId="0" fontId="23" fillId="36" borderId="1" xfId="0" applyFont="1" applyFill="1" applyBorder="1" applyAlignment="1" applyProtection="1">
      <alignment horizontal="center" wrapText="1"/>
      <protection hidden="1"/>
    </xf>
    <xf numFmtId="3" fontId="23" fillId="36" borderId="1" xfId="0" applyNumberFormat="1" applyFont="1" applyFill="1" applyBorder="1" applyAlignment="1" applyProtection="1">
      <alignment horizontal="center" vertical="center"/>
      <protection hidden="1"/>
    </xf>
    <xf numFmtId="3" fontId="23" fillId="36" borderId="1" xfId="0" applyNumberFormat="1" applyFont="1" applyFill="1" applyBorder="1" applyProtection="1"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36" borderId="1" xfId="0" applyFont="1" applyFill="1" applyBorder="1" applyAlignment="1" applyProtection="1">
      <alignment horizontal="center"/>
      <protection hidden="1"/>
    </xf>
    <xf numFmtId="0" fontId="23" fillId="3" borderId="1" xfId="0" applyFont="1" applyFill="1" applyBorder="1" applyProtection="1">
      <protection locked="0" hidden="1"/>
    </xf>
    <xf numFmtId="2" fontId="23" fillId="35" borderId="1" xfId="0" applyNumberFormat="1" applyFont="1" applyFill="1" applyBorder="1" applyAlignment="1" applyProtection="1">
      <alignment horizontal="center" vertical="center"/>
      <protection hidden="1"/>
    </xf>
    <xf numFmtId="0" fontId="24" fillId="36" borderId="1" xfId="0" applyFont="1" applyFill="1" applyBorder="1" applyAlignment="1" applyProtection="1">
      <alignment horizontal="left" wrapText="1"/>
      <protection hidden="1"/>
    </xf>
    <xf numFmtId="0" fontId="23" fillId="36" borderId="1" xfId="0" applyFont="1" applyFill="1" applyBorder="1" applyProtection="1">
      <protection hidden="1"/>
    </xf>
    <xf numFmtId="0" fontId="28" fillId="35" borderId="1" xfId="0" applyFont="1" applyFill="1" applyBorder="1" applyProtection="1">
      <protection hidden="1"/>
    </xf>
    <xf numFmtId="0" fontId="28" fillId="35" borderId="1" xfId="0" applyFont="1" applyFill="1" applyBorder="1" applyAlignment="1" applyProtection="1">
      <alignment horizontal="center" vertical="center"/>
      <protection hidden="1"/>
    </xf>
    <xf numFmtId="0" fontId="28" fillId="35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Protection="1">
      <protection hidden="1"/>
    </xf>
    <xf numFmtId="0" fontId="29" fillId="36" borderId="1" xfId="0" applyFont="1" applyFill="1" applyBorder="1" applyProtection="1">
      <protection hidden="1"/>
    </xf>
    <xf numFmtId="0" fontId="28" fillId="36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Protection="1">
      <protection hidden="1"/>
    </xf>
    <xf numFmtId="0" fontId="29" fillId="36" borderId="1" xfId="0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Protection="1"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left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textRotation="90" wrapText="1"/>
      <protection hidden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Fill="1" applyBorder="1" applyAlignment="1" applyProtection="1">
      <alignment textRotation="90" wrapText="1"/>
      <protection hidden="1"/>
    </xf>
    <xf numFmtId="0" fontId="2" fillId="0" borderId="1" xfId="0" applyFont="1" applyFill="1" applyBorder="1" applyAlignment="1" applyProtection="1">
      <alignment horizontal="left" textRotation="90" wrapText="1"/>
      <protection hidden="1"/>
    </xf>
    <xf numFmtId="0" fontId="1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35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28" fillId="0" borderId="1" xfId="0" applyFont="1" applyFill="1" applyBorder="1" applyAlignment="1" applyProtection="1">
      <alignment wrapText="1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2" fontId="28" fillId="0" borderId="1" xfId="0" applyNumberFormat="1" applyFont="1" applyBorder="1" applyAlignment="1" applyProtection="1">
      <alignment horizontal="center" vertical="center" wrapText="1"/>
      <protection hidden="1"/>
    </xf>
    <xf numFmtId="2" fontId="30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left" wrapText="1"/>
      <protection hidden="1"/>
    </xf>
    <xf numFmtId="2" fontId="32" fillId="0" borderId="1" xfId="0" applyNumberFormat="1" applyFont="1" applyBorder="1" applyAlignment="1" applyProtection="1">
      <alignment horizontal="left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textRotation="90"/>
      <protection hidden="1"/>
    </xf>
    <xf numFmtId="0" fontId="23" fillId="0" borderId="3" xfId="0" applyFont="1" applyBorder="1" applyAlignment="1" applyProtection="1">
      <alignment horizontal="center" textRotation="90"/>
      <protection hidden="1"/>
    </xf>
    <xf numFmtId="2" fontId="22" fillId="0" borderId="13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2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6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15" zoomScaleNormal="115" workbookViewId="0">
      <selection activeCell="C3" sqref="C3"/>
    </sheetView>
  </sheetViews>
  <sheetFormatPr defaultColWidth="9.140625" defaultRowHeight="15"/>
  <cols>
    <col min="1" max="1" width="28.28515625" style="1" customWidth="1"/>
    <col min="2" max="2" width="6.140625" style="1" customWidth="1"/>
    <col min="3" max="3" width="16.5703125" style="1" customWidth="1"/>
    <col min="4" max="8" width="9.140625" style="1"/>
    <col min="9" max="9" width="0" style="1" hidden="1" customWidth="1"/>
    <col min="10" max="16384" width="9.140625" style="1"/>
  </cols>
  <sheetData>
    <row r="1" spans="1:13">
      <c r="A1" s="83" t="s">
        <v>81</v>
      </c>
      <c r="B1" s="83"/>
      <c r="C1" s="83"/>
    </row>
    <row r="2" spans="1:13" ht="45" customHeight="1">
      <c r="A2" s="2" t="s">
        <v>82</v>
      </c>
      <c r="B2" s="2"/>
      <c r="C2" s="2" t="s">
        <v>83</v>
      </c>
    </row>
    <row r="3" spans="1:13" ht="30" customHeight="1">
      <c r="A3" s="3" t="s">
        <v>0</v>
      </c>
      <c r="B3" s="4" t="s">
        <v>2</v>
      </c>
      <c r="C3" s="5"/>
      <c r="D3" s="6" t="s">
        <v>126</v>
      </c>
      <c r="E3" s="7"/>
      <c r="F3" s="86" t="s">
        <v>144</v>
      </c>
      <c r="G3" s="86"/>
      <c r="H3" s="86"/>
      <c r="I3" s="86"/>
      <c r="J3" s="86"/>
    </row>
    <row r="4" spans="1:13" ht="30" customHeight="1">
      <c r="A4" s="3" t="s">
        <v>1</v>
      </c>
      <c r="B4" s="4" t="s">
        <v>3</v>
      </c>
      <c r="C4" s="5"/>
      <c r="D4" s="6" t="s">
        <v>127</v>
      </c>
      <c r="E4" s="7"/>
      <c r="F4" s="86" t="s">
        <v>145</v>
      </c>
      <c r="G4" s="86"/>
      <c r="H4" s="86"/>
      <c r="I4" s="86"/>
      <c r="J4" s="86"/>
    </row>
    <row r="5" spans="1:13" ht="30">
      <c r="A5" s="3" t="s">
        <v>13</v>
      </c>
      <c r="B5" s="4" t="s">
        <v>84</v>
      </c>
      <c r="C5" s="5"/>
    </row>
    <row r="6" spans="1:13" ht="31.5" customHeight="1">
      <c r="I6" s="8"/>
      <c r="J6" s="9"/>
      <c r="K6" s="9"/>
      <c r="L6" s="9"/>
      <c r="M6" s="9"/>
    </row>
    <row r="7" spans="1:13" ht="15" customHeight="1">
      <c r="I7" s="10"/>
    </row>
    <row r="8" spans="1:13">
      <c r="I8" s="85" t="s">
        <v>125</v>
      </c>
    </row>
    <row r="9" spans="1:13" ht="14.25" customHeight="1">
      <c r="A9" s="87" t="s">
        <v>115</v>
      </c>
      <c r="B9" s="87"/>
      <c r="C9" s="87"/>
      <c r="D9" s="87"/>
      <c r="E9" s="87"/>
      <c r="F9" s="87"/>
      <c r="G9" s="87"/>
      <c r="H9" s="87"/>
      <c r="I9" s="85"/>
    </row>
    <row r="10" spans="1:13" ht="15.2" customHeight="1">
      <c r="A10" s="87"/>
      <c r="B10" s="87"/>
      <c r="C10" s="87"/>
      <c r="D10" s="87"/>
      <c r="E10" s="87"/>
      <c r="F10" s="87"/>
      <c r="G10" s="87"/>
      <c r="H10" s="87"/>
      <c r="I10" s="11">
        <f>SUM(D14:H14)</f>
        <v>0</v>
      </c>
    </row>
    <row r="11" spans="1:13" ht="15.75">
      <c r="A11" s="87"/>
      <c r="B11" s="87"/>
      <c r="C11" s="87"/>
      <c r="D11" s="87"/>
      <c r="E11" s="87"/>
      <c r="F11" s="87"/>
      <c r="G11" s="87"/>
      <c r="H11" s="87"/>
      <c r="I11" s="11">
        <f>SUM(D15:H15)</f>
        <v>0</v>
      </c>
    </row>
    <row r="12" spans="1:13" ht="15.75">
      <c r="A12" s="84" t="s">
        <v>105</v>
      </c>
      <c r="B12" s="85" t="s">
        <v>106</v>
      </c>
      <c r="C12" s="85" t="s">
        <v>120</v>
      </c>
      <c r="D12" s="85" t="s">
        <v>121</v>
      </c>
      <c r="E12" s="85"/>
      <c r="F12" s="85" t="s">
        <v>122</v>
      </c>
      <c r="G12" s="85" t="s">
        <v>123</v>
      </c>
      <c r="H12" s="85" t="s">
        <v>124</v>
      </c>
      <c r="I12" s="11">
        <f>SUM(D16:H16)</f>
        <v>0</v>
      </c>
    </row>
    <row r="13" spans="1:13" ht="38.25">
      <c r="A13" s="84"/>
      <c r="B13" s="85"/>
      <c r="C13" s="85"/>
      <c r="D13" s="12" t="s">
        <v>108</v>
      </c>
      <c r="E13" s="12" t="s">
        <v>109</v>
      </c>
      <c r="F13" s="85"/>
      <c r="G13" s="85"/>
      <c r="H13" s="85"/>
      <c r="I13" s="11">
        <f>SUM(D17:H17)</f>
        <v>0</v>
      </c>
    </row>
    <row r="14" spans="1:13" ht="15.75">
      <c r="A14" s="13" t="s">
        <v>110</v>
      </c>
      <c r="B14" s="14">
        <v>1</v>
      </c>
      <c r="C14" s="15"/>
      <c r="D14" s="15"/>
      <c r="E14" s="15"/>
      <c r="F14" s="15"/>
      <c r="G14" s="15"/>
      <c r="H14" s="15"/>
      <c r="I14" s="11">
        <f>SUM(D18:H18)</f>
        <v>0</v>
      </c>
    </row>
    <row r="15" spans="1:13" ht="15.75">
      <c r="A15" s="13" t="s">
        <v>111</v>
      </c>
      <c r="B15" s="14">
        <v>2</v>
      </c>
      <c r="C15" s="15"/>
      <c r="D15" s="15"/>
      <c r="E15" s="15"/>
      <c r="F15" s="15"/>
      <c r="G15" s="15"/>
      <c r="H15" s="15"/>
      <c r="I15" s="11">
        <f t="shared" ref="I15" si="0">SUM(I10:I14)</f>
        <v>0</v>
      </c>
    </row>
    <row r="16" spans="1:13" ht="25.5">
      <c r="A16" s="13" t="s">
        <v>112</v>
      </c>
      <c r="B16" s="14">
        <v>3</v>
      </c>
      <c r="C16" s="15"/>
      <c r="D16" s="15"/>
      <c r="E16" s="15"/>
      <c r="F16" s="15"/>
      <c r="G16" s="15"/>
      <c r="H16" s="15"/>
    </row>
    <row r="17" spans="1:8" ht="25.5">
      <c r="A17" s="13" t="s">
        <v>113</v>
      </c>
      <c r="B17" s="14">
        <v>4</v>
      </c>
      <c r="C17" s="15"/>
      <c r="D17" s="15"/>
      <c r="E17" s="15"/>
      <c r="F17" s="15"/>
      <c r="G17" s="15"/>
      <c r="H17" s="15"/>
    </row>
    <row r="18" spans="1:8" ht="15.75">
      <c r="A18" s="13" t="s">
        <v>114</v>
      </c>
      <c r="B18" s="14">
        <v>5</v>
      </c>
      <c r="C18" s="15"/>
      <c r="D18" s="15"/>
      <c r="E18" s="15"/>
      <c r="F18" s="15"/>
      <c r="G18" s="15"/>
      <c r="H18" s="15"/>
    </row>
    <row r="19" spans="1:8" hidden="1">
      <c r="A19" s="16" t="s">
        <v>107</v>
      </c>
      <c r="B19" s="16"/>
      <c r="C19" s="17">
        <f t="shared" ref="C19:H19" si="1">SUM(C14:C18)</f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</row>
  </sheetData>
  <sheetProtection password="9929" sheet="1" objects="1" scenarios="1" selectLockedCells="1"/>
  <mergeCells count="12">
    <mergeCell ref="A1:C1"/>
    <mergeCell ref="A12:A13"/>
    <mergeCell ref="B12:B13"/>
    <mergeCell ref="C12:C13"/>
    <mergeCell ref="F3:J3"/>
    <mergeCell ref="F4:J4"/>
    <mergeCell ref="H12:H13"/>
    <mergeCell ref="I8:I9"/>
    <mergeCell ref="D12:E12"/>
    <mergeCell ref="F12:F13"/>
    <mergeCell ref="G12:G13"/>
    <mergeCell ref="A9:H11"/>
  </mergeCells>
  <conditionalFormatting sqref="I10:I15">
    <cfRule type="cellIs" dxfId="67" priority="38" stopIfTrue="1" operator="notEqual">
      <formula>#REF!+$A$13+$B$13+$C$13+#REF!+#REF!+#REF!+$D$13</formula>
    </cfRule>
  </conditionalFormatting>
  <conditionalFormatting sqref="C3">
    <cfRule type="expression" dxfId="66" priority="36" stopIfTrue="1">
      <formula>ABS($C$3)&gt;0</formula>
    </cfRule>
  </conditionalFormatting>
  <conditionalFormatting sqref="C4">
    <cfRule type="expression" dxfId="65" priority="35" stopIfTrue="1">
      <formula>ABS($C$4)&gt;0</formula>
    </cfRule>
  </conditionalFormatting>
  <conditionalFormatting sqref="C5">
    <cfRule type="expression" dxfId="64" priority="34" stopIfTrue="1">
      <formula>ABS($C$5)&gt;0</formula>
    </cfRule>
  </conditionalFormatting>
  <conditionalFormatting sqref="E3">
    <cfRule type="expression" dxfId="63" priority="33" stopIfTrue="1">
      <formula>ABS($E$3)&gt;0</formula>
    </cfRule>
  </conditionalFormatting>
  <conditionalFormatting sqref="E4">
    <cfRule type="expression" dxfId="62" priority="32" stopIfTrue="1">
      <formula>ABS($E$4)&gt;0</formula>
    </cfRule>
  </conditionalFormatting>
  <conditionalFormatting sqref="C14">
    <cfRule type="expression" dxfId="61" priority="31" stopIfTrue="1">
      <formula>ABS($C$14)&gt;0</formula>
    </cfRule>
  </conditionalFormatting>
  <conditionalFormatting sqref="C15">
    <cfRule type="expression" dxfId="60" priority="30" stopIfTrue="1">
      <formula>ABS($C$15)&gt;0</formula>
    </cfRule>
  </conditionalFormatting>
  <conditionalFormatting sqref="C16">
    <cfRule type="expression" dxfId="59" priority="29" stopIfTrue="1">
      <formula>ABS($C$16)&gt;0</formula>
    </cfRule>
  </conditionalFormatting>
  <conditionalFormatting sqref="C17">
    <cfRule type="expression" dxfId="58" priority="28" stopIfTrue="1">
      <formula>ABS($C$17)&gt;0</formula>
    </cfRule>
  </conditionalFormatting>
  <conditionalFormatting sqref="C18">
    <cfRule type="expression" dxfId="57" priority="27" stopIfTrue="1">
      <formula>ABS($C$18)&gt;0</formula>
    </cfRule>
  </conditionalFormatting>
  <conditionalFormatting sqref="D14">
    <cfRule type="expression" dxfId="56" priority="26" stopIfTrue="1">
      <formula>ABS($D$14)&gt;0</formula>
    </cfRule>
  </conditionalFormatting>
  <conditionalFormatting sqref="D15">
    <cfRule type="expression" dxfId="55" priority="25" stopIfTrue="1">
      <formula>ABS($D$15)&gt;0</formula>
    </cfRule>
  </conditionalFormatting>
  <conditionalFormatting sqref="D16">
    <cfRule type="expression" dxfId="54" priority="24" stopIfTrue="1">
      <formula>ABS($D$16)&gt;0</formula>
    </cfRule>
  </conditionalFormatting>
  <conditionalFormatting sqref="D17">
    <cfRule type="expression" dxfId="53" priority="23" stopIfTrue="1">
      <formula>ABS($D$17)&gt;0</formula>
    </cfRule>
  </conditionalFormatting>
  <conditionalFormatting sqref="D18">
    <cfRule type="expression" dxfId="52" priority="22" stopIfTrue="1">
      <formula>ABS($D$18)&gt;0</formula>
    </cfRule>
  </conditionalFormatting>
  <conditionalFormatting sqref="E14">
    <cfRule type="expression" dxfId="51" priority="21" stopIfTrue="1">
      <formula>ABS($E$14)&gt;0</formula>
    </cfRule>
  </conditionalFormatting>
  <conditionalFormatting sqref="E15">
    <cfRule type="expression" dxfId="50" priority="20" stopIfTrue="1">
      <formula>ABS($E$15)&gt;0</formula>
    </cfRule>
  </conditionalFormatting>
  <conditionalFormatting sqref="E16">
    <cfRule type="expression" dxfId="49" priority="19" stopIfTrue="1">
      <formula>ABS($E$16)&gt;0</formula>
    </cfRule>
  </conditionalFormatting>
  <conditionalFormatting sqref="E17">
    <cfRule type="expression" dxfId="48" priority="18" stopIfTrue="1">
      <formula>ABS($E$17)&gt;0</formula>
    </cfRule>
  </conditionalFormatting>
  <conditionalFormatting sqref="E18">
    <cfRule type="expression" dxfId="47" priority="17" stopIfTrue="1">
      <formula>ABS($E$18)&gt;0</formula>
    </cfRule>
  </conditionalFormatting>
  <conditionalFormatting sqref="F14">
    <cfRule type="expression" dxfId="46" priority="16" stopIfTrue="1">
      <formula>ABS($F$14)&gt;0</formula>
    </cfRule>
  </conditionalFormatting>
  <conditionalFormatting sqref="F15">
    <cfRule type="expression" dxfId="45" priority="15" stopIfTrue="1">
      <formula>ABS($F$15)&gt;0</formula>
    </cfRule>
  </conditionalFormatting>
  <conditionalFormatting sqref="F16">
    <cfRule type="expression" dxfId="44" priority="13" stopIfTrue="1">
      <formula>ABS($F$16)&gt;0</formula>
    </cfRule>
  </conditionalFormatting>
  <conditionalFormatting sqref="F17">
    <cfRule type="expression" dxfId="43" priority="12" stopIfTrue="1">
      <formula>ABS($F$17)&gt;0</formula>
    </cfRule>
  </conditionalFormatting>
  <conditionalFormatting sqref="F18">
    <cfRule type="expression" dxfId="42" priority="11" stopIfTrue="1">
      <formula>ABS($F$18)&gt;0</formula>
    </cfRule>
  </conditionalFormatting>
  <conditionalFormatting sqref="G14">
    <cfRule type="expression" dxfId="41" priority="10" stopIfTrue="1">
      <formula>ABS($G$14)&gt;0</formula>
    </cfRule>
  </conditionalFormatting>
  <conditionalFormatting sqref="G15">
    <cfRule type="expression" dxfId="40" priority="9" stopIfTrue="1">
      <formula>ABS($G$15)&gt;0</formula>
    </cfRule>
  </conditionalFormatting>
  <conditionalFormatting sqref="G16">
    <cfRule type="expression" dxfId="39" priority="8" stopIfTrue="1">
      <formula>ABS($G$16)&gt;0</formula>
    </cfRule>
  </conditionalFormatting>
  <conditionalFormatting sqref="G17">
    <cfRule type="expression" dxfId="38" priority="7" stopIfTrue="1">
      <formula>ABS($G$17)&gt;0</formula>
    </cfRule>
  </conditionalFormatting>
  <conditionalFormatting sqref="G18">
    <cfRule type="expression" dxfId="37" priority="6" stopIfTrue="1">
      <formula>ABS($G$18)&gt;0</formula>
    </cfRule>
  </conditionalFormatting>
  <conditionalFormatting sqref="H14">
    <cfRule type="expression" dxfId="36" priority="5" stopIfTrue="1">
      <formula>ABS($H$14)&gt;0</formula>
    </cfRule>
  </conditionalFormatting>
  <conditionalFormatting sqref="H15">
    <cfRule type="expression" dxfId="35" priority="4" stopIfTrue="1">
      <formula>ABS($H$15)&gt;0</formula>
    </cfRule>
  </conditionalFormatting>
  <conditionalFormatting sqref="H16">
    <cfRule type="expression" dxfId="34" priority="3" stopIfTrue="1">
      <formula>ABS($H$16)&gt;0</formula>
    </cfRule>
  </conditionalFormatting>
  <conditionalFormatting sqref="H17">
    <cfRule type="expression" dxfId="33" priority="2" stopIfTrue="1">
      <formula>ABS($H$17)&gt;0</formula>
    </cfRule>
  </conditionalFormatting>
  <conditionalFormatting sqref="H18">
    <cfRule type="expression" dxfId="32" priority="1" stopIfTrue="1">
      <formula>ABS($H$18)&gt;0</formula>
    </cfRule>
  </conditionalFormatting>
  <dataValidations count="3">
    <dataValidation type="whole" allowBlank="1" showInputMessage="1" showErrorMessage="1" sqref="I15">
      <formula1>0</formula1>
      <formula2>C5</formula2>
    </dataValidation>
    <dataValidation type="whole" allowBlank="1" showInputMessage="1" showErrorMessage="1" sqref="C14:H18">
      <formula1>0</formula1>
      <formula2>350000</formula2>
    </dataValidation>
    <dataValidation type="whole" allowBlank="1" showInputMessage="1" showErrorMessage="1" sqref="C3:C5 E3:E4">
      <formula1>1</formula1>
      <formula2>350000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2" zoomScale="95" zoomScaleNormal="95" workbookViewId="0">
      <selection activeCell="F3" sqref="F3"/>
    </sheetView>
  </sheetViews>
  <sheetFormatPr defaultColWidth="9.140625" defaultRowHeight="15.75"/>
  <cols>
    <col min="1" max="1" width="4" style="23" customWidth="1"/>
    <col min="2" max="2" width="34.5703125" style="23" customWidth="1"/>
    <col min="3" max="3" width="10" style="23" customWidth="1"/>
    <col min="4" max="4" width="10.5703125" style="23" customWidth="1"/>
    <col min="5" max="5" width="8.140625" style="53" customWidth="1"/>
    <col min="6" max="6" width="11.140625" style="23" customWidth="1"/>
    <col min="7" max="7" width="10.85546875" style="23" customWidth="1"/>
    <col min="8" max="8" width="8.5703125" style="23" hidden="1" customWidth="1"/>
    <col min="9" max="9" width="10.140625" style="23" hidden="1" customWidth="1"/>
    <col min="10" max="10" width="9.140625" style="23" hidden="1" customWidth="1"/>
    <col min="11" max="15" width="9.140625" style="23"/>
    <col min="16" max="16" width="5.7109375" style="23" customWidth="1"/>
    <col min="17" max="16384" width="9.140625" style="23"/>
  </cols>
  <sheetData>
    <row r="1" spans="1:10" ht="192" customHeight="1">
      <c r="A1" s="88" t="s">
        <v>22</v>
      </c>
      <c r="B1" s="90" t="s">
        <v>23</v>
      </c>
      <c r="C1" s="92" t="s">
        <v>24</v>
      </c>
      <c r="D1" s="92" t="s">
        <v>25</v>
      </c>
      <c r="E1" s="18" t="s">
        <v>6</v>
      </c>
      <c r="F1" s="19" t="s">
        <v>142</v>
      </c>
      <c r="G1" s="20" t="s">
        <v>143</v>
      </c>
      <c r="H1" s="20" t="s">
        <v>80</v>
      </c>
      <c r="I1" s="21" t="s">
        <v>130</v>
      </c>
      <c r="J1" s="22" t="s">
        <v>132</v>
      </c>
    </row>
    <row r="2" spans="1:10">
      <c r="A2" s="89"/>
      <c r="B2" s="91"/>
      <c r="C2" s="93"/>
      <c r="D2" s="93"/>
      <c r="E2" s="24" t="s">
        <v>4</v>
      </c>
      <c r="F2" s="25" t="s">
        <v>7</v>
      </c>
      <c r="G2" s="26" t="s">
        <v>5</v>
      </c>
      <c r="H2" s="26" t="s">
        <v>89</v>
      </c>
      <c r="I2" s="25" t="s">
        <v>131</v>
      </c>
      <c r="J2" s="26" t="s">
        <v>148</v>
      </c>
    </row>
    <row r="3" spans="1:10">
      <c r="A3" s="26">
        <v>1</v>
      </c>
      <c r="B3" s="27" t="s">
        <v>32</v>
      </c>
      <c r="C3" s="28" t="s">
        <v>33</v>
      </c>
      <c r="D3" s="28" t="s">
        <v>27</v>
      </c>
      <c r="E3" s="29">
        <v>4</v>
      </c>
      <c r="F3" s="30"/>
      <c r="G3" s="30"/>
      <c r="H3" s="31">
        <f>G3/E3</f>
        <v>0</v>
      </c>
      <c r="I3" s="31">
        <f>F3/E3</f>
        <v>0</v>
      </c>
      <c r="J3" s="32">
        <f t="shared" ref="J3:J11" si="0">I3/240</f>
        <v>0</v>
      </c>
    </row>
    <row r="4" spans="1:10" ht="31.5">
      <c r="A4" s="26">
        <v>2</v>
      </c>
      <c r="B4" s="27" t="s">
        <v>32</v>
      </c>
      <c r="C4" s="28" t="s">
        <v>48</v>
      </c>
      <c r="D4" s="28" t="s">
        <v>28</v>
      </c>
      <c r="E4" s="29">
        <v>2</v>
      </c>
      <c r="F4" s="30"/>
      <c r="G4" s="30"/>
      <c r="H4" s="31">
        <f>G4/E4</f>
        <v>0</v>
      </c>
      <c r="I4" s="31">
        <f t="shared" ref="I4:I60" si="1">F4/E4</f>
        <v>0</v>
      </c>
      <c r="J4" s="32">
        <f>I4/240</f>
        <v>0</v>
      </c>
    </row>
    <row r="5" spans="1:10" ht="31.5">
      <c r="A5" s="26">
        <v>3</v>
      </c>
      <c r="B5" s="27" t="s">
        <v>32</v>
      </c>
      <c r="C5" s="28" t="s">
        <v>48</v>
      </c>
      <c r="D5" s="28" t="s">
        <v>49</v>
      </c>
      <c r="E5" s="29">
        <v>1</v>
      </c>
      <c r="F5" s="30"/>
      <c r="G5" s="30"/>
      <c r="H5" s="31">
        <f>G5/E5</f>
        <v>0</v>
      </c>
      <c r="I5" s="31">
        <f t="shared" si="1"/>
        <v>0</v>
      </c>
      <c r="J5" s="32">
        <f t="shared" si="0"/>
        <v>0</v>
      </c>
    </row>
    <row r="6" spans="1:10">
      <c r="A6" s="26">
        <v>4</v>
      </c>
      <c r="B6" s="27" t="s">
        <v>34</v>
      </c>
      <c r="C6" s="28" t="s">
        <v>33</v>
      </c>
      <c r="D6" s="28" t="s">
        <v>28</v>
      </c>
      <c r="E6" s="29">
        <v>2</v>
      </c>
      <c r="F6" s="30"/>
      <c r="G6" s="30"/>
      <c r="H6" s="31">
        <f>G6/E6</f>
        <v>0</v>
      </c>
      <c r="I6" s="31">
        <f t="shared" si="1"/>
        <v>0</v>
      </c>
      <c r="J6" s="32">
        <f t="shared" si="0"/>
        <v>0</v>
      </c>
    </row>
    <row r="7" spans="1:10">
      <c r="A7" s="26">
        <v>5</v>
      </c>
      <c r="B7" s="27" t="s">
        <v>34</v>
      </c>
      <c r="C7" s="28" t="s">
        <v>33</v>
      </c>
      <c r="D7" s="28" t="s">
        <v>49</v>
      </c>
      <c r="E7" s="29">
        <v>1</v>
      </c>
      <c r="F7" s="30"/>
      <c r="G7" s="30"/>
      <c r="H7" s="31">
        <f>G7/E7</f>
        <v>0</v>
      </c>
      <c r="I7" s="31">
        <f t="shared" si="1"/>
        <v>0</v>
      </c>
      <c r="J7" s="32">
        <f t="shared" si="0"/>
        <v>0</v>
      </c>
    </row>
    <row r="8" spans="1:10" hidden="1">
      <c r="A8" s="33"/>
      <c r="B8" s="34" t="s">
        <v>91</v>
      </c>
      <c r="C8" s="35"/>
      <c r="D8" s="35"/>
      <c r="E8" s="36"/>
      <c r="F8" s="37">
        <f>SUM(F3:F7)</f>
        <v>0</v>
      </c>
      <c r="G8" s="37">
        <f t="shared" ref="G8" si="2">SUM(G3:G7)</f>
        <v>0</v>
      </c>
      <c r="H8" s="37">
        <f>SUM(H3:H7)</f>
        <v>0</v>
      </c>
      <c r="I8" s="37">
        <f t="shared" ref="I8" si="3">SUM(I3:I7)</f>
        <v>0</v>
      </c>
      <c r="J8" s="37">
        <f>SUM(J3:J7)</f>
        <v>0</v>
      </c>
    </row>
    <row r="9" spans="1:10">
      <c r="A9" s="26">
        <v>6</v>
      </c>
      <c r="B9" s="27" t="s">
        <v>35</v>
      </c>
      <c r="C9" s="28" t="s">
        <v>33</v>
      </c>
      <c r="D9" s="28" t="s">
        <v>28</v>
      </c>
      <c r="E9" s="29">
        <v>2</v>
      </c>
      <c r="F9" s="30"/>
      <c r="G9" s="30"/>
      <c r="H9" s="31">
        <f>G9/E9</f>
        <v>0</v>
      </c>
      <c r="I9" s="31">
        <f t="shared" si="1"/>
        <v>0</v>
      </c>
      <c r="J9" s="32">
        <f t="shared" si="0"/>
        <v>0</v>
      </c>
    </row>
    <row r="10" spans="1:10">
      <c r="A10" s="26">
        <v>7</v>
      </c>
      <c r="B10" s="27" t="s">
        <v>35</v>
      </c>
      <c r="C10" s="28" t="s">
        <v>33</v>
      </c>
      <c r="D10" s="28" t="s">
        <v>50</v>
      </c>
      <c r="E10" s="29">
        <v>1.33</v>
      </c>
      <c r="F10" s="30"/>
      <c r="G10" s="30"/>
      <c r="H10" s="31">
        <f>G10/E10</f>
        <v>0</v>
      </c>
      <c r="I10" s="31">
        <f t="shared" si="1"/>
        <v>0</v>
      </c>
      <c r="J10" s="32">
        <f t="shared" si="0"/>
        <v>0</v>
      </c>
    </row>
    <row r="11" spans="1:10">
      <c r="A11" s="26">
        <v>8</v>
      </c>
      <c r="B11" s="27" t="s">
        <v>35</v>
      </c>
      <c r="C11" s="28" t="s">
        <v>33</v>
      </c>
      <c r="D11" s="28" t="s">
        <v>49</v>
      </c>
      <c r="E11" s="29">
        <v>1</v>
      </c>
      <c r="F11" s="30"/>
      <c r="G11" s="30"/>
      <c r="H11" s="31">
        <f>G11/E11</f>
        <v>0</v>
      </c>
      <c r="I11" s="31">
        <f t="shared" si="1"/>
        <v>0</v>
      </c>
      <c r="J11" s="32">
        <f t="shared" si="0"/>
        <v>0</v>
      </c>
    </row>
    <row r="12" spans="1:10" hidden="1">
      <c r="A12" s="33"/>
      <c r="B12" s="34" t="s">
        <v>35</v>
      </c>
      <c r="C12" s="35"/>
      <c r="D12" s="35"/>
      <c r="E12" s="36"/>
      <c r="F12" s="37">
        <f t="shared" ref="F12:G12" si="4">SUM(F9:F11)</f>
        <v>0</v>
      </c>
      <c r="G12" s="37">
        <f t="shared" si="4"/>
        <v>0</v>
      </c>
      <c r="H12" s="37">
        <f>SUM(H9:H11)</f>
        <v>0</v>
      </c>
      <c r="I12" s="37">
        <f t="shared" ref="I12:J12" si="5">SUM(I9:I11)</f>
        <v>0</v>
      </c>
      <c r="J12" s="37">
        <f t="shared" si="5"/>
        <v>0</v>
      </c>
    </row>
    <row r="13" spans="1:10">
      <c r="A13" s="26">
        <v>9</v>
      </c>
      <c r="B13" s="27" t="s">
        <v>8</v>
      </c>
      <c r="C13" s="28" t="s">
        <v>26</v>
      </c>
      <c r="D13" s="28" t="s">
        <v>27</v>
      </c>
      <c r="E13" s="29">
        <f>0.775/0.25</f>
        <v>3.1</v>
      </c>
      <c r="F13" s="30"/>
      <c r="G13" s="30"/>
      <c r="H13" s="31">
        <f>G13/E13</f>
        <v>0</v>
      </c>
      <c r="I13" s="31">
        <f t="shared" si="1"/>
        <v>0</v>
      </c>
      <c r="J13" s="32">
        <f>I13/360</f>
        <v>0</v>
      </c>
    </row>
    <row r="14" spans="1:10">
      <c r="A14" s="26">
        <v>10</v>
      </c>
      <c r="B14" s="27" t="s">
        <v>8</v>
      </c>
      <c r="C14" s="28" t="s">
        <v>26</v>
      </c>
      <c r="D14" s="28" t="s">
        <v>28</v>
      </c>
      <c r="E14" s="29">
        <f>0.775/0.5</f>
        <v>1.55</v>
      </c>
      <c r="F14" s="30"/>
      <c r="G14" s="30"/>
      <c r="H14" s="31">
        <f>G14/E14</f>
        <v>0</v>
      </c>
      <c r="I14" s="31">
        <f t="shared" si="1"/>
        <v>0</v>
      </c>
      <c r="J14" s="32">
        <f t="shared" ref="J14:J58" si="6">I14/360</f>
        <v>0</v>
      </c>
    </row>
    <row r="15" spans="1:10">
      <c r="A15" s="26">
        <v>11</v>
      </c>
      <c r="B15" s="27" t="s">
        <v>8</v>
      </c>
      <c r="C15" s="28" t="s">
        <v>26</v>
      </c>
      <c r="D15" s="28" t="s">
        <v>50</v>
      </c>
      <c r="E15" s="29">
        <f>0.775/0.75</f>
        <v>1.0333333333333334</v>
      </c>
      <c r="F15" s="30"/>
      <c r="G15" s="30"/>
      <c r="H15" s="31">
        <f>G15/E15</f>
        <v>0</v>
      </c>
      <c r="I15" s="31">
        <f t="shared" si="1"/>
        <v>0</v>
      </c>
      <c r="J15" s="32">
        <f t="shared" si="6"/>
        <v>0</v>
      </c>
    </row>
    <row r="16" spans="1:10" ht="47.25">
      <c r="A16" s="26">
        <v>12</v>
      </c>
      <c r="B16" s="27" t="s">
        <v>8</v>
      </c>
      <c r="C16" s="28" t="s">
        <v>51</v>
      </c>
      <c r="D16" s="28" t="s">
        <v>52</v>
      </c>
      <c r="E16" s="29">
        <f t="shared" ref="E16" si="7">0.775/0.5</f>
        <v>1.55</v>
      </c>
      <c r="F16" s="30"/>
      <c r="G16" s="30"/>
      <c r="H16" s="31">
        <f>G16/E16</f>
        <v>0</v>
      </c>
      <c r="I16" s="31">
        <f t="shared" si="1"/>
        <v>0</v>
      </c>
      <c r="J16" s="32">
        <f t="shared" si="6"/>
        <v>0</v>
      </c>
    </row>
    <row r="17" spans="1:10" hidden="1">
      <c r="A17" s="33"/>
      <c r="B17" s="34" t="s">
        <v>8</v>
      </c>
      <c r="C17" s="35"/>
      <c r="D17" s="35"/>
      <c r="E17" s="36"/>
      <c r="F17" s="37">
        <f t="shared" ref="F17:G17" si="8">SUM(F13:F16)</f>
        <v>0</v>
      </c>
      <c r="G17" s="37">
        <f t="shared" si="8"/>
        <v>0</v>
      </c>
      <c r="H17" s="37">
        <f>SUM(H13:H16)</f>
        <v>0</v>
      </c>
      <c r="I17" s="37">
        <f t="shared" ref="I17:J17" si="9">SUM(I13:I16)</f>
        <v>0</v>
      </c>
      <c r="J17" s="37">
        <f t="shared" si="9"/>
        <v>0</v>
      </c>
    </row>
    <row r="18" spans="1:10">
      <c r="A18" s="26">
        <v>13</v>
      </c>
      <c r="B18" s="27" t="s">
        <v>29</v>
      </c>
      <c r="C18" s="28" t="s">
        <v>26</v>
      </c>
      <c r="D18" s="28" t="s">
        <v>30</v>
      </c>
      <c r="E18" s="29">
        <v>1</v>
      </c>
      <c r="F18" s="30"/>
      <c r="G18" s="30"/>
      <c r="H18" s="31">
        <f>G18/E18</f>
        <v>0</v>
      </c>
      <c r="I18" s="31">
        <f t="shared" si="1"/>
        <v>0</v>
      </c>
      <c r="J18" s="32">
        <f t="shared" si="6"/>
        <v>0</v>
      </c>
    </row>
    <row r="19" spans="1:10" ht="47.25">
      <c r="A19" s="26">
        <v>14</v>
      </c>
      <c r="B19" s="27" t="s">
        <v>29</v>
      </c>
      <c r="C19" s="28" t="s">
        <v>51</v>
      </c>
      <c r="D19" s="28" t="s">
        <v>53</v>
      </c>
      <c r="E19" s="29">
        <v>1</v>
      </c>
      <c r="F19" s="30"/>
      <c r="G19" s="30"/>
      <c r="H19" s="31">
        <f>G19/E19</f>
        <v>0</v>
      </c>
      <c r="I19" s="31">
        <f t="shared" si="1"/>
        <v>0</v>
      </c>
      <c r="J19" s="32">
        <f t="shared" si="6"/>
        <v>0</v>
      </c>
    </row>
    <row r="20" spans="1:10" hidden="1">
      <c r="A20" s="33"/>
      <c r="B20" s="34" t="s">
        <v>29</v>
      </c>
      <c r="C20" s="35"/>
      <c r="D20" s="35"/>
      <c r="E20" s="36"/>
      <c r="F20" s="37">
        <f t="shared" ref="F20:G20" si="10">SUM(F18:F19)</f>
        <v>0</v>
      </c>
      <c r="G20" s="37">
        <f t="shared" si="10"/>
        <v>0</v>
      </c>
      <c r="H20" s="37">
        <f>SUM(H18:H19)</f>
        <v>0</v>
      </c>
      <c r="I20" s="37">
        <f t="shared" ref="I20:J20" si="11">SUM(I18:I19)</f>
        <v>0</v>
      </c>
      <c r="J20" s="37">
        <f t="shared" si="11"/>
        <v>0</v>
      </c>
    </row>
    <row r="21" spans="1:10">
      <c r="A21" s="26">
        <v>15</v>
      </c>
      <c r="B21" s="27" t="s">
        <v>9</v>
      </c>
      <c r="C21" s="28" t="s">
        <v>26</v>
      </c>
      <c r="D21" s="38" t="s">
        <v>31</v>
      </c>
      <c r="E21" s="29">
        <v>1</v>
      </c>
      <c r="F21" s="30"/>
      <c r="G21" s="30"/>
      <c r="H21" s="31">
        <f>G21/E21</f>
        <v>0</v>
      </c>
      <c r="I21" s="31">
        <f t="shared" si="1"/>
        <v>0</v>
      </c>
      <c r="J21" s="32">
        <f t="shared" si="6"/>
        <v>0</v>
      </c>
    </row>
    <row r="22" spans="1:10" hidden="1">
      <c r="A22" s="33"/>
      <c r="B22" s="34" t="s">
        <v>9</v>
      </c>
      <c r="C22" s="35"/>
      <c r="D22" s="39"/>
      <c r="E22" s="36"/>
      <c r="F22" s="37">
        <f t="shared" ref="F22:G22" si="12">SUM(F21)</f>
        <v>0</v>
      </c>
      <c r="G22" s="37">
        <f t="shared" si="12"/>
        <v>0</v>
      </c>
      <c r="H22" s="37">
        <f>SUM(H21)</f>
        <v>0</v>
      </c>
      <c r="I22" s="37">
        <f t="shared" ref="I22:J22" si="13">SUM(I21)</f>
        <v>0</v>
      </c>
      <c r="J22" s="37">
        <f t="shared" si="13"/>
        <v>0</v>
      </c>
    </row>
    <row r="23" spans="1:10" ht="31.5">
      <c r="A23" s="26">
        <v>16</v>
      </c>
      <c r="B23" s="27" t="s">
        <v>12</v>
      </c>
      <c r="C23" s="28" t="s">
        <v>36</v>
      </c>
      <c r="D23" s="28" t="s">
        <v>27</v>
      </c>
      <c r="E23" s="24">
        <v>3</v>
      </c>
      <c r="F23" s="40"/>
      <c r="G23" s="40"/>
      <c r="H23" s="31">
        <f>G23/E23</f>
        <v>0</v>
      </c>
      <c r="I23" s="31">
        <f>F23/E23</f>
        <v>0</v>
      </c>
      <c r="J23" s="32">
        <f>I23/360</f>
        <v>0</v>
      </c>
    </row>
    <row r="24" spans="1:10">
      <c r="A24" s="26">
        <v>17</v>
      </c>
      <c r="B24" s="27" t="s">
        <v>92</v>
      </c>
      <c r="C24" s="28" t="s">
        <v>26</v>
      </c>
      <c r="D24" s="28" t="s">
        <v>27</v>
      </c>
      <c r="E24" s="24">
        <v>3</v>
      </c>
      <c r="F24" s="40"/>
      <c r="G24" s="40"/>
      <c r="H24" s="31">
        <f>G24/E24</f>
        <v>0</v>
      </c>
      <c r="I24" s="31">
        <f t="shared" si="1"/>
        <v>0</v>
      </c>
      <c r="J24" s="32">
        <f t="shared" si="6"/>
        <v>0</v>
      </c>
    </row>
    <row r="25" spans="1:10" hidden="1">
      <c r="A25" s="33"/>
      <c r="B25" s="34" t="s">
        <v>93</v>
      </c>
      <c r="C25" s="35"/>
      <c r="D25" s="35"/>
      <c r="E25" s="33"/>
      <c r="F25" s="37">
        <f t="shared" ref="F25:G25" si="14">SUM(F23:F24)</f>
        <v>0</v>
      </c>
      <c r="G25" s="37">
        <f t="shared" si="14"/>
        <v>0</v>
      </c>
      <c r="H25" s="37">
        <f t="shared" ref="H25:J25" si="15">SUM(H23:H24)</f>
        <v>0</v>
      </c>
      <c r="I25" s="37">
        <f t="shared" si="15"/>
        <v>0</v>
      </c>
      <c r="J25" s="37">
        <f t="shared" si="15"/>
        <v>0</v>
      </c>
    </row>
    <row r="26" spans="1:10">
      <c r="A26" s="26">
        <v>17</v>
      </c>
      <c r="B26" s="27" t="s">
        <v>10</v>
      </c>
      <c r="C26" s="28" t="s">
        <v>37</v>
      </c>
      <c r="D26" s="28" t="s">
        <v>38</v>
      </c>
      <c r="E26" s="24">
        <v>6</v>
      </c>
      <c r="F26" s="40"/>
      <c r="G26" s="40"/>
      <c r="H26" s="31">
        <f t="shared" ref="H26:H31" si="16">G26/E26</f>
        <v>0</v>
      </c>
      <c r="I26" s="31">
        <f t="shared" si="1"/>
        <v>0</v>
      </c>
      <c r="J26" s="32">
        <f t="shared" si="6"/>
        <v>0</v>
      </c>
    </row>
    <row r="27" spans="1:10">
      <c r="A27" s="26">
        <v>18</v>
      </c>
      <c r="B27" s="27" t="s">
        <v>10</v>
      </c>
      <c r="C27" s="28" t="s">
        <v>37</v>
      </c>
      <c r="D27" s="28" t="s">
        <v>27</v>
      </c>
      <c r="E27" s="24">
        <v>3</v>
      </c>
      <c r="F27" s="40"/>
      <c r="G27" s="40"/>
      <c r="H27" s="31">
        <f t="shared" si="16"/>
        <v>0</v>
      </c>
      <c r="I27" s="31">
        <f t="shared" si="1"/>
        <v>0</v>
      </c>
      <c r="J27" s="32">
        <f t="shared" si="6"/>
        <v>0</v>
      </c>
    </row>
    <row r="28" spans="1:10">
      <c r="A28" s="26">
        <v>19</v>
      </c>
      <c r="B28" s="27" t="s">
        <v>10</v>
      </c>
      <c r="C28" s="28" t="s">
        <v>37</v>
      </c>
      <c r="D28" s="28" t="s">
        <v>28</v>
      </c>
      <c r="E28" s="24">
        <v>1.5</v>
      </c>
      <c r="F28" s="40"/>
      <c r="G28" s="40"/>
      <c r="H28" s="31">
        <f t="shared" si="16"/>
        <v>0</v>
      </c>
      <c r="I28" s="31">
        <f t="shared" si="1"/>
        <v>0</v>
      </c>
      <c r="J28" s="32">
        <f t="shared" si="6"/>
        <v>0</v>
      </c>
    </row>
    <row r="29" spans="1:10">
      <c r="A29" s="26">
        <v>20</v>
      </c>
      <c r="B29" s="27" t="s">
        <v>11</v>
      </c>
      <c r="C29" s="28" t="s">
        <v>37</v>
      </c>
      <c r="D29" s="28" t="s">
        <v>54</v>
      </c>
      <c r="E29" s="24">
        <v>5</v>
      </c>
      <c r="F29" s="40"/>
      <c r="G29" s="40"/>
      <c r="H29" s="31">
        <f t="shared" si="16"/>
        <v>0</v>
      </c>
      <c r="I29" s="31">
        <f t="shared" si="1"/>
        <v>0</v>
      </c>
      <c r="J29" s="32">
        <f t="shared" si="6"/>
        <v>0</v>
      </c>
    </row>
    <row r="30" spans="1:10">
      <c r="A30" s="26">
        <v>21</v>
      </c>
      <c r="B30" s="27" t="s">
        <v>11</v>
      </c>
      <c r="C30" s="28" t="s">
        <v>37</v>
      </c>
      <c r="D30" s="28" t="s">
        <v>27</v>
      </c>
      <c r="E30" s="24">
        <v>3</v>
      </c>
      <c r="F30" s="40"/>
      <c r="G30" s="40"/>
      <c r="H30" s="31">
        <f t="shared" si="16"/>
        <v>0</v>
      </c>
      <c r="I30" s="31">
        <f t="shared" si="1"/>
        <v>0</v>
      </c>
      <c r="J30" s="32">
        <f t="shared" si="6"/>
        <v>0</v>
      </c>
    </row>
    <row r="31" spans="1:10">
      <c r="A31" s="26">
        <v>22</v>
      </c>
      <c r="B31" s="27" t="s">
        <v>11</v>
      </c>
      <c r="C31" s="28" t="s">
        <v>37</v>
      </c>
      <c r="D31" s="28" t="s">
        <v>55</v>
      </c>
      <c r="E31" s="24">
        <v>2.5</v>
      </c>
      <c r="F31" s="40"/>
      <c r="G31" s="40"/>
      <c r="H31" s="31">
        <f t="shared" si="16"/>
        <v>0</v>
      </c>
      <c r="I31" s="31">
        <f t="shared" si="1"/>
        <v>0</v>
      </c>
      <c r="J31" s="32">
        <f t="shared" si="6"/>
        <v>0</v>
      </c>
    </row>
    <row r="32" spans="1:10" hidden="1">
      <c r="A32" s="33"/>
      <c r="B32" s="34" t="s">
        <v>94</v>
      </c>
      <c r="C32" s="35"/>
      <c r="D32" s="35"/>
      <c r="E32" s="33"/>
      <c r="F32" s="37">
        <f t="shared" ref="F32:G32" si="17">SUM(F26:F31)</f>
        <v>0</v>
      </c>
      <c r="G32" s="37">
        <f t="shared" si="17"/>
        <v>0</v>
      </c>
      <c r="H32" s="37">
        <f t="shared" ref="H32:J32" si="18">SUM(H26:H31)</f>
        <v>0</v>
      </c>
      <c r="I32" s="37">
        <f t="shared" si="18"/>
        <v>0</v>
      </c>
      <c r="J32" s="37">
        <f t="shared" si="18"/>
        <v>0</v>
      </c>
    </row>
    <row r="33" spans="1:10">
      <c r="A33" s="26">
        <v>23</v>
      </c>
      <c r="B33" s="27" t="s">
        <v>39</v>
      </c>
      <c r="C33" s="28" t="s">
        <v>26</v>
      </c>
      <c r="D33" s="28" t="s">
        <v>28</v>
      </c>
      <c r="E33" s="41">
        <f>8/0.5</f>
        <v>16</v>
      </c>
      <c r="F33" s="40"/>
      <c r="G33" s="40"/>
      <c r="H33" s="31">
        <f t="shared" ref="H33:H52" si="19">G33/E33</f>
        <v>0</v>
      </c>
      <c r="I33" s="31">
        <f t="shared" si="1"/>
        <v>0</v>
      </c>
      <c r="J33" s="32">
        <f t="shared" si="6"/>
        <v>0</v>
      </c>
    </row>
    <row r="34" spans="1:10">
      <c r="A34" s="26">
        <v>24</v>
      </c>
      <c r="B34" s="27" t="s">
        <v>39</v>
      </c>
      <c r="C34" s="28" t="s">
        <v>26</v>
      </c>
      <c r="D34" s="28" t="s">
        <v>49</v>
      </c>
      <c r="E34" s="41">
        <v>8</v>
      </c>
      <c r="F34" s="40"/>
      <c r="G34" s="40"/>
      <c r="H34" s="31">
        <f t="shared" si="19"/>
        <v>0</v>
      </c>
      <c r="I34" s="31">
        <f t="shared" si="1"/>
        <v>0</v>
      </c>
      <c r="J34" s="32">
        <f t="shared" si="6"/>
        <v>0</v>
      </c>
    </row>
    <row r="35" spans="1:10">
      <c r="A35" s="26">
        <v>25</v>
      </c>
      <c r="B35" s="27" t="s">
        <v>39</v>
      </c>
      <c r="C35" s="28" t="s">
        <v>56</v>
      </c>
      <c r="D35" s="28" t="s">
        <v>57</v>
      </c>
      <c r="E35" s="41">
        <f>8/13.49</f>
        <v>0.59303187546330616</v>
      </c>
      <c r="F35" s="40"/>
      <c r="G35" s="40"/>
      <c r="H35" s="31">
        <f t="shared" si="19"/>
        <v>0</v>
      </c>
      <c r="I35" s="31">
        <f t="shared" si="1"/>
        <v>0</v>
      </c>
      <c r="J35" s="32">
        <f t="shared" si="6"/>
        <v>0</v>
      </c>
    </row>
    <row r="36" spans="1:10">
      <c r="A36" s="26">
        <v>26</v>
      </c>
      <c r="B36" s="27" t="s">
        <v>39</v>
      </c>
      <c r="C36" s="28" t="s">
        <v>56</v>
      </c>
      <c r="D36" s="28" t="s">
        <v>58</v>
      </c>
      <c r="E36" s="41">
        <f>8/11.72</f>
        <v>0.68259385665529004</v>
      </c>
      <c r="F36" s="40"/>
      <c r="G36" s="40"/>
      <c r="H36" s="31">
        <f t="shared" si="19"/>
        <v>0</v>
      </c>
      <c r="I36" s="31">
        <f t="shared" si="1"/>
        <v>0</v>
      </c>
      <c r="J36" s="32">
        <f t="shared" si="6"/>
        <v>0</v>
      </c>
    </row>
    <row r="37" spans="1:10">
      <c r="A37" s="26">
        <v>27</v>
      </c>
      <c r="B37" s="27" t="s">
        <v>39</v>
      </c>
      <c r="C37" s="28" t="s">
        <v>56</v>
      </c>
      <c r="D37" s="28" t="s">
        <v>59</v>
      </c>
      <c r="E37" s="41">
        <f>8/3</f>
        <v>2.6666666666666665</v>
      </c>
      <c r="F37" s="40"/>
      <c r="G37" s="40"/>
      <c r="H37" s="31">
        <f t="shared" si="19"/>
        <v>0</v>
      </c>
      <c r="I37" s="31">
        <f t="shared" si="1"/>
        <v>0</v>
      </c>
      <c r="J37" s="32">
        <f t="shared" si="6"/>
        <v>0</v>
      </c>
    </row>
    <row r="38" spans="1:10" ht="47.25">
      <c r="A38" s="26">
        <v>28</v>
      </c>
      <c r="B38" s="27" t="s">
        <v>39</v>
      </c>
      <c r="C38" s="28" t="s">
        <v>51</v>
      </c>
      <c r="D38" s="28" t="s">
        <v>60</v>
      </c>
      <c r="E38" s="41">
        <f>8/6</f>
        <v>1.3333333333333333</v>
      </c>
      <c r="F38" s="40"/>
      <c r="G38" s="40"/>
      <c r="H38" s="31">
        <f t="shared" si="19"/>
        <v>0</v>
      </c>
      <c r="I38" s="31">
        <f t="shared" si="1"/>
        <v>0</v>
      </c>
      <c r="J38" s="32">
        <f t="shared" si="6"/>
        <v>0</v>
      </c>
    </row>
    <row r="39" spans="1:10" ht="47.25">
      <c r="A39" s="26">
        <v>29</v>
      </c>
      <c r="B39" s="27" t="s">
        <v>39</v>
      </c>
      <c r="C39" s="28" t="s">
        <v>51</v>
      </c>
      <c r="D39" s="28" t="s">
        <v>61</v>
      </c>
      <c r="E39" s="41">
        <f>8/12</f>
        <v>0.66666666666666663</v>
      </c>
      <c r="F39" s="40"/>
      <c r="G39" s="40"/>
      <c r="H39" s="31">
        <f t="shared" si="19"/>
        <v>0</v>
      </c>
      <c r="I39" s="31">
        <f t="shared" si="1"/>
        <v>0</v>
      </c>
      <c r="J39" s="32">
        <f t="shared" si="6"/>
        <v>0</v>
      </c>
    </row>
    <row r="40" spans="1:10">
      <c r="A40" s="26">
        <v>30</v>
      </c>
      <c r="B40" s="27" t="s">
        <v>40</v>
      </c>
      <c r="C40" s="28" t="s">
        <v>41</v>
      </c>
      <c r="D40" s="28" t="s">
        <v>62</v>
      </c>
      <c r="E40" s="41">
        <f>8/2.4</f>
        <v>3.3333333333333335</v>
      </c>
      <c r="F40" s="40"/>
      <c r="G40" s="40"/>
      <c r="H40" s="31">
        <f t="shared" si="19"/>
        <v>0</v>
      </c>
      <c r="I40" s="31">
        <f t="shared" si="1"/>
        <v>0</v>
      </c>
      <c r="J40" s="32">
        <f t="shared" si="6"/>
        <v>0</v>
      </c>
    </row>
    <row r="41" spans="1:10">
      <c r="A41" s="26">
        <v>31</v>
      </c>
      <c r="B41" s="27" t="s">
        <v>40</v>
      </c>
      <c r="C41" s="28" t="s">
        <v>41</v>
      </c>
      <c r="D41" s="28" t="s">
        <v>59</v>
      </c>
      <c r="E41" s="41">
        <f>8/3</f>
        <v>2.6666666666666665</v>
      </c>
      <c r="F41" s="40"/>
      <c r="G41" s="40"/>
      <c r="H41" s="31">
        <f t="shared" si="19"/>
        <v>0</v>
      </c>
      <c r="I41" s="31">
        <f t="shared" si="1"/>
        <v>0</v>
      </c>
      <c r="J41" s="32">
        <f t="shared" si="6"/>
        <v>0</v>
      </c>
    </row>
    <row r="42" spans="1:10">
      <c r="A42" s="26">
        <v>32</v>
      </c>
      <c r="B42" s="27" t="s">
        <v>40</v>
      </c>
      <c r="C42" s="28" t="s">
        <v>41</v>
      </c>
      <c r="D42" s="28" t="s">
        <v>63</v>
      </c>
      <c r="E42" s="41">
        <f>8/3.2</f>
        <v>2.5</v>
      </c>
      <c r="F42" s="40"/>
      <c r="G42" s="40"/>
      <c r="H42" s="31">
        <f t="shared" si="19"/>
        <v>0</v>
      </c>
      <c r="I42" s="31">
        <f t="shared" si="1"/>
        <v>0</v>
      </c>
      <c r="J42" s="32">
        <f t="shared" si="6"/>
        <v>0</v>
      </c>
    </row>
    <row r="43" spans="1:10">
      <c r="A43" s="26">
        <v>33</v>
      </c>
      <c r="B43" s="27" t="s">
        <v>40</v>
      </c>
      <c r="C43" s="28" t="s">
        <v>41</v>
      </c>
      <c r="D43" s="28" t="s">
        <v>64</v>
      </c>
      <c r="E43" s="41">
        <f>8/3.3</f>
        <v>2.4242424242424243</v>
      </c>
      <c r="F43" s="40"/>
      <c r="G43" s="40"/>
      <c r="H43" s="31">
        <f t="shared" si="19"/>
        <v>0</v>
      </c>
      <c r="I43" s="31">
        <f t="shared" si="1"/>
        <v>0</v>
      </c>
      <c r="J43" s="32">
        <f t="shared" si="6"/>
        <v>0</v>
      </c>
    </row>
    <row r="44" spans="1:10">
      <c r="A44" s="26">
        <v>34</v>
      </c>
      <c r="B44" s="27" t="s">
        <v>40</v>
      </c>
      <c r="C44" s="28" t="s">
        <v>41</v>
      </c>
      <c r="D44" s="28" t="s">
        <v>65</v>
      </c>
      <c r="E44" s="41">
        <f>8/3.6</f>
        <v>2.2222222222222223</v>
      </c>
      <c r="F44" s="40"/>
      <c r="G44" s="40"/>
      <c r="H44" s="31">
        <f t="shared" si="19"/>
        <v>0</v>
      </c>
      <c r="I44" s="31">
        <f t="shared" si="1"/>
        <v>0</v>
      </c>
      <c r="J44" s="32">
        <f t="shared" si="6"/>
        <v>0</v>
      </c>
    </row>
    <row r="45" spans="1:10">
      <c r="A45" s="26">
        <v>35</v>
      </c>
      <c r="B45" s="27" t="s">
        <v>40</v>
      </c>
      <c r="C45" s="28" t="s">
        <v>41</v>
      </c>
      <c r="D45" s="28" t="s">
        <v>66</v>
      </c>
      <c r="E45" s="41">
        <f>8/4</f>
        <v>2</v>
      </c>
      <c r="F45" s="40"/>
      <c r="G45" s="40"/>
      <c r="H45" s="31">
        <f t="shared" si="19"/>
        <v>0</v>
      </c>
      <c r="I45" s="31">
        <f t="shared" si="1"/>
        <v>0</v>
      </c>
      <c r="J45" s="32">
        <f t="shared" si="6"/>
        <v>0</v>
      </c>
    </row>
    <row r="46" spans="1:10">
      <c r="A46" s="26">
        <v>36</v>
      </c>
      <c r="B46" s="27" t="s">
        <v>40</v>
      </c>
      <c r="C46" s="28" t="s">
        <v>41</v>
      </c>
      <c r="D46" s="28" t="s">
        <v>67</v>
      </c>
      <c r="E46" s="41">
        <f>8/5</f>
        <v>1.6</v>
      </c>
      <c r="F46" s="40"/>
      <c r="G46" s="40"/>
      <c r="H46" s="31">
        <f t="shared" si="19"/>
        <v>0</v>
      </c>
      <c r="I46" s="31">
        <f t="shared" si="1"/>
        <v>0</v>
      </c>
      <c r="J46" s="32">
        <f t="shared" si="6"/>
        <v>0</v>
      </c>
    </row>
    <row r="47" spans="1:10">
      <c r="A47" s="26">
        <v>37</v>
      </c>
      <c r="B47" s="27" t="s">
        <v>40</v>
      </c>
      <c r="C47" s="28" t="s">
        <v>41</v>
      </c>
      <c r="D47" s="28" t="s">
        <v>68</v>
      </c>
      <c r="E47" s="41">
        <f>8/5.5</f>
        <v>1.4545454545454546</v>
      </c>
      <c r="F47" s="40"/>
      <c r="G47" s="40"/>
      <c r="H47" s="31">
        <f t="shared" si="19"/>
        <v>0</v>
      </c>
      <c r="I47" s="31">
        <f t="shared" si="1"/>
        <v>0</v>
      </c>
      <c r="J47" s="32">
        <f t="shared" si="6"/>
        <v>0</v>
      </c>
    </row>
    <row r="48" spans="1:10">
      <c r="A48" s="26">
        <v>38</v>
      </c>
      <c r="B48" s="27" t="s">
        <v>40</v>
      </c>
      <c r="C48" s="28" t="s">
        <v>41</v>
      </c>
      <c r="D48" s="28" t="s">
        <v>69</v>
      </c>
      <c r="E48" s="41">
        <f>8/60</f>
        <v>0.13333333333333333</v>
      </c>
      <c r="F48" s="40"/>
      <c r="G48" s="40"/>
      <c r="H48" s="31">
        <f t="shared" si="19"/>
        <v>0</v>
      </c>
      <c r="I48" s="31">
        <f t="shared" si="1"/>
        <v>0</v>
      </c>
      <c r="J48" s="32">
        <f t="shared" si="6"/>
        <v>0</v>
      </c>
    </row>
    <row r="49" spans="1:10" ht="31.5">
      <c r="A49" s="26">
        <v>39</v>
      </c>
      <c r="B49" s="27" t="s">
        <v>40</v>
      </c>
      <c r="C49" s="28" t="s">
        <v>70</v>
      </c>
      <c r="D49" s="28" t="s">
        <v>71</v>
      </c>
      <c r="E49" s="41">
        <f>8/80</f>
        <v>0.1</v>
      </c>
      <c r="F49" s="40"/>
      <c r="G49" s="40"/>
      <c r="H49" s="31">
        <f t="shared" si="19"/>
        <v>0</v>
      </c>
      <c r="I49" s="31">
        <f t="shared" si="1"/>
        <v>0</v>
      </c>
      <c r="J49" s="32">
        <f t="shared" si="6"/>
        <v>0</v>
      </c>
    </row>
    <row r="50" spans="1:10">
      <c r="A50" s="26">
        <v>40</v>
      </c>
      <c r="B50" s="27" t="s">
        <v>40</v>
      </c>
      <c r="C50" s="28" t="s">
        <v>41</v>
      </c>
      <c r="D50" s="28" t="s">
        <v>72</v>
      </c>
      <c r="E50" s="41">
        <f>8/100</f>
        <v>0.08</v>
      </c>
      <c r="F50" s="40"/>
      <c r="G50" s="40"/>
      <c r="H50" s="31">
        <f t="shared" si="19"/>
        <v>0</v>
      </c>
      <c r="I50" s="31">
        <f t="shared" si="1"/>
        <v>0</v>
      </c>
      <c r="J50" s="32">
        <f t="shared" si="6"/>
        <v>0</v>
      </c>
    </row>
    <row r="51" spans="1:10">
      <c r="A51" s="26">
        <v>41</v>
      </c>
      <c r="B51" s="27" t="s">
        <v>40</v>
      </c>
      <c r="C51" s="28" t="s">
        <v>41</v>
      </c>
      <c r="D51" s="28" t="s">
        <v>73</v>
      </c>
      <c r="E51" s="41">
        <f>8/300</f>
        <v>2.6666666666666668E-2</v>
      </c>
      <c r="F51" s="40"/>
      <c r="G51" s="40"/>
      <c r="H51" s="31">
        <f t="shared" si="19"/>
        <v>0</v>
      </c>
      <c r="I51" s="31">
        <f t="shared" si="1"/>
        <v>0</v>
      </c>
      <c r="J51" s="32">
        <f t="shared" si="6"/>
        <v>0</v>
      </c>
    </row>
    <row r="52" spans="1:10">
      <c r="A52" s="26">
        <v>42</v>
      </c>
      <c r="B52" s="27" t="s">
        <v>40</v>
      </c>
      <c r="C52" s="28" t="s">
        <v>41</v>
      </c>
      <c r="D52" s="28" t="s">
        <v>42</v>
      </c>
      <c r="E52" s="41">
        <f>8/400</f>
        <v>0.02</v>
      </c>
      <c r="F52" s="40"/>
      <c r="G52" s="40"/>
      <c r="H52" s="31">
        <f t="shared" si="19"/>
        <v>0</v>
      </c>
      <c r="I52" s="31">
        <f t="shared" si="1"/>
        <v>0</v>
      </c>
      <c r="J52" s="32">
        <f t="shared" si="6"/>
        <v>0</v>
      </c>
    </row>
    <row r="53" spans="1:10" ht="31.5" hidden="1" customHeight="1">
      <c r="A53" s="33"/>
      <c r="B53" s="42" t="s">
        <v>40</v>
      </c>
      <c r="C53" s="35"/>
      <c r="D53" s="35"/>
      <c r="E53" s="33"/>
      <c r="F53" s="43">
        <f t="shared" ref="F53:G53" si="20">SUM(F33:F52)</f>
        <v>0</v>
      </c>
      <c r="G53" s="43">
        <f t="shared" si="20"/>
        <v>0</v>
      </c>
      <c r="H53" s="37">
        <f>SUM(H33:H52)</f>
        <v>0</v>
      </c>
      <c r="I53" s="37">
        <f t="shared" ref="I53:J53" si="21">SUM(I33:I52)</f>
        <v>0</v>
      </c>
      <c r="J53" s="37">
        <f t="shared" si="21"/>
        <v>0</v>
      </c>
    </row>
    <row r="54" spans="1:10">
      <c r="A54" s="26">
        <v>43</v>
      </c>
      <c r="B54" s="27" t="s">
        <v>43</v>
      </c>
      <c r="C54" s="28" t="s">
        <v>26</v>
      </c>
      <c r="D54" s="28" t="s">
        <v>31</v>
      </c>
      <c r="E54" s="24">
        <v>3</v>
      </c>
      <c r="F54" s="40"/>
      <c r="G54" s="40"/>
      <c r="H54" s="31">
        <f>G54/E54</f>
        <v>0</v>
      </c>
      <c r="I54" s="31">
        <f t="shared" si="1"/>
        <v>0</v>
      </c>
      <c r="J54" s="32">
        <f t="shared" si="6"/>
        <v>0</v>
      </c>
    </row>
    <row r="55" spans="1:10">
      <c r="A55" s="26">
        <v>44</v>
      </c>
      <c r="B55" s="27" t="s">
        <v>43</v>
      </c>
      <c r="C55" s="28" t="s">
        <v>26</v>
      </c>
      <c r="D55" s="28" t="s">
        <v>30</v>
      </c>
      <c r="E55" s="24">
        <v>1.5</v>
      </c>
      <c r="F55" s="40"/>
      <c r="G55" s="40"/>
      <c r="H55" s="31">
        <f>G55/E55</f>
        <v>0</v>
      </c>
      <c r="I55" s="31">
        <f t="shared" si="1"/>
        <v>0</v>
      </c>
      <c r="J55" s="32">
        <f t="shared" si="6"/>
        <v>0</v>
      </c>
    </row>
    <row r="56" spans="1:10">
      <c r="A56" s="26">
        <v>45</v>
      </c>
      <c r="B56" s="27" t="s">
        <v>43</v>
      </c>
      <c r="C56" s="28" t="s">
        <v>26</v>
      </c>
      <c r="D56" s="28" t="s">
        <v>74</v>
      </c>
      <c r="E56" s="24">
        <v>1</v>
      </c>
      <c r="F56" s="40"/>
      <c r="G56" s="40"/>
      <c r="H56" s="31">
        <f>G56/E56</f>
        <v>0</v>
      </c>
      <c r="I56" s="31">
        <f t="shared" si="1"/>
        <v>0</v>
      </c>
      <c r="J56" s="32">
        <f t="shared" si="6"/>
        <v>0</v>
      </c>
    </row>
    <row r="57" spans="1:10" ht="30.75" customHeight="1">
      <c r="A57" s="26">
        <v>46</v>
      </c>
      <c r="B57" s="27" t="s">
        <v>43</v>
      </c>
      <c r="C57" s="28" t="s">
        <v>51</v>
      </c>
      <c r="D57" s="28" t="s">
        <v>75</v>
      </c>
      <c r="E57" s="24">
        <v>3</v>
      </c>
      <c r="F57" s="40"/>
      <c r="G57" s="40"/>
      <c r="H57" s="31">
        <f>G57/E57</f>
        <v>0</v>
      </c>
      <c r="I57" s="31">
        <f t="shared" si="1"/>
        <v>0</v>
      </c>
      <c r="J57" s="32">
        <f t="shared" si="6"/>
        <v>0</v>
      </c>
    </row>
    <row r="58" spans="1:10" ht="30.75" customHeight="1">
      <c r="A58" s="26">
        <v>47</v>
      </c>
      <c r="B58" s="27" t="s">
        <v>43</v>
      </c>
      <c r="C58" s="28" t="s">
        <v>51</v>
      </c>
      <c r="D58" s="28" t="s">
        <v>76</v>
      </c>
      <c r="E58" s="24">
        <v>1</v>
      </c>
      <c r="F58" s="40"/>
      <c r="G58" s="40"/>
      <c r="H58" s="31">
        <f>G58/E58</f>
        <v>0</v>
      </c>
      <c r="I58" s="31">
        <f t="shared" si="1"/>
        <v>0</v>
      </c>
      <c r="J58" s="32">
        <f t="shared" si="6"/>
        <v>0</v>
      </c>
    </row>
    <row r="59" spans="1:10" hidden="1">
      <c r="A59" s="33"/>
      <c r="B59" s="34" t="s">
        <v>43</v>
      </c>
      <c r="C59" s="35"/>
      <c r="D59" s="35"/>
      <c r="E59" s="33"/>
      <c r="F59" s="43">
        <f t="shared" ref="F59:G59" si="22">SUM(F54:F58)</f>
        <v>0</v>
      </c>
      <c r="G59" s="43">
        <f t="shared" si="22"/>
        <v>0</v>
      </c>
      <c r="H59" s="37">
        <f>SUM(H54:H58)</f>
        <v>0</v>
      </c>
      <c r="I59" s="37">
        <f t="shared" ref="I59:J59" si="23">SUM(I54:I58)</f>
        <v>0</v>
      </c>
      <c r="J59" s="37">
        <f t="shared" si="23"/>
        <v>0</v>
      </c>
    </row>
    <row r="60" spans="1:10">
      <c r="A60" s="26">
        <v>48</v>
      </c>
      <c r="B60" s="27" t="s">
        <v>44</v>
      </c>
      <c r="C60" s="28" t="s">
        <v>45</v>
      </c>
      <c r="D60" s="28" t="s">
        <v>46</v>
      </c>
      <c r="E60" s="24">
        <v>1.04</v>
      </c>
      <c r="F60" s="40"/>
      <c r="G60" s="40"/>
      <c r="H60" s="31">
        <f>G60/E60</f>
        <v>0</v>
      </c>
      <c r="I60" s="31">
        <f t="shared" si="1"/>
        <v>0</v>
      </c>
      <c r="J60" s="32">
        <f>I60/180</f>
        <v>0</v>
      </c>
    </row>
    <row r="61" spans="1:10" hidden="1">
      <c r="A61" s="33"/>
      <c r="B61" s="34" t="s">
        <v>44</v>
      </c>
      <c r="C61" s="35"/>
      <c r="D61" s="35"/>
      <c r="E61" s="33"/>
      <c r="F61" s="43">
        <f t="shared" ref="F61:G61" si="24">SUM(F60)</f>
        <v>0</v>
      </c>
      <c r="G61" s="43">
        <f t="shared" si="24"/>
        <v>0</v>
      </c>
      <c r="H61" s="37">
        <f>SUM(H60)</f>
        <v>0</v>
      </c>
      <c r="I61" s="37">
        <f t="shared" ref="I61:J61" si="25">SUM(I60)</f>
        <v>0</v>
      </c>
      <c r="J61" s="37">
        <f t="shared" si="25"/>
        <v>0</v>
      </c>
    </row>
    <row r="62" spans="1:10" ht="31.5">
      <c r="A62" s="26">
        <v>49</v>
      </c>
      <c r="B62" s="21" t="s">
        <v>47</v>
      </c>
      <c r="C62" s="28" t="s">
        <v>45</v>
      </c>
      <c r="D62" s="28">
        <v>0.2</v>
      </c>
      <c r="E62" s="24">
        <v>2</v>
      </c>
      <c r="F62" s="40"/>
      <c r="G62" s="40"/>
      <c r="H62" s="31">
        <f>G62/E62</f>
        <v>0</v>
      </c>
      <c r="I62" s="31">
        <f t="shared" ref="I62:I79" si="26">F62/E62</f>
        <v>0</v>
      </c>
      <c r="J62" s="32">
        <f t="shared" ref="J62:J79" si="27">I62/180</f>
        <v>0</v>
      </c>
    </row>
    <row r="63" spans="1:10" ht="31.5">
      <c r="A63" s="26">
        <v>50</v>
      </c>
      <c r="B63" s="21" t="s">
        <v>47</v>
      </c>
      <c r="C63" s="28" t="s">
        <v>45</v>
      </c>
      <c r="D63" s="28">
        <v>0.4</v>
      </c>
      <c r="E63" s="24">
        <v>1</v>
      </c>
      <c r="F63" s="40"/>
      <c r="G63" s="40"/>
      <c r="H63" s="31">
        <f>G63/E63</f>
        <v>0</v>
      </c>
      <c r="I63" s="31">
        <f t="shared" si="26"/>
        <v>0</v>
      </c>
      <c r="J63" s="32">
        <f t="shared" si="27"/>
        <v>0</v>
      </c>
    </row>
    <row r="64" spans="1:10" ht="31.5" hidden="1">
      <c r="A64" s="33"/>
      <c r="B64" s="42" t="s">
        <v>47</v>
      </c>
      <c r="C64" s="35"/>
      <c r="D64" s="35"/>
      <c r="E64" s="33"/>
      <c r="F64" s="43">
        <f t="shared" ref="F64" si="28">SUM(F62:F63)</f>
        <v>0</v>
      </c>
      <c r="G64" s="43">
        <f>SUM(G62:G63)</f>
        <v>0</v>
      </c>
      <c r="H64" s="37">
        <f>SUM(H62:H63)</f>
        <v>0</v>
      </c>
      <c r="I64" s="37">
        <f t="shared" ref="I64:J64" si="29">SUM(I62:I63)</f>
        <v>0</v>
      </c>
      <c r="J64" s="37">
        <f t="shared" si="29"/>
        <v>0</v>
      </c>
    </row>
    <row r="65" spans="1:10" ht="31.5">
      <c r="A65" s="26">
        <v>51</v>
      </c>
      <c r="B65" s="44" t="s">
        <v>85</v>
      </c>
      <c r="C65" s="45" t="s">
        <v>33</v>
      </c>
      <c r="D65" s="46" t="s">
        <v>90</v>
      </c>
      <c r="E65" s="24">
        <v>4</v>
      </c>
      <c r="F65" s="40"/>
      <c r="G65" s="40"/>
      <c r="H65" s="47">
        <f>G65/E65</f>
        <v>0</v>
      </c>
      <c r="I65" s="31">
        <f t="shared" si="26"/>
        <v>0</v>
      </c>
      <c r="J65" s="32">
        <f t="shared" si="27"/>
        <v>0</v>
      </c>
    </row>
    <row r="66" spans="1:10" hidden="1">
      <c r="A66" s="33"/>
      <c r="B66" s="48" t="s">
        <v>85</v>
      </c>
      <c r="C66" s="49"/>
      <c r="D66" s="49"/>
      <c r="E66" s="33"/>
      <c r="F66" s="43">
        <f t="shared" ref="F66:G66" si="30">SUM(F65)</f>
        <v>0</v>
      </c>
      <c r="G66" s="43">
        <f t="shared" si="30"/>
        <v>0</v>
      </c>
      <c r="H66" s="43">
        <f>SUM(H65)</f>
        <v>0</v>
      </c>
      <c r="I66" s="43">
        <f t="shared" ref="I66:J66" si="31">SUM(I65)</f>
        <v>0</v>
      </c>
      <c r="J66" s="43">
        <f t="shared" si="31"/>
        <v>0</v>
      </c>
    </row>
    <row r="67" spans="1:10">
      <c r="A67" s="26">
        <v>52</v>
      </c>
      <c r="B67" s="44" t="s">
        <v>87</v>
      </c>
      <c r="C67" s="45" t="s">
        <v>33</v>
      </c>
      <c r="D67" s="45" t="s">
        <v>86</v>
      </c>
      <c r="E67" s="24">
        <v>6</v>
      </c>
      <c r="F67" s="40"/>
      <c r="G67" s="40"/>
      <c r="H67" s="47">
        <f>G67/E67</f>
        <v>0</v>
      </c>
      <c r="I67" s="31">
        <f t="shared" si="26"/>
        <v>0</v>
      </c>
      <c r="J67" s="32">
        <f t="shared" si="27"/>
        <v>0</v>
      </c>
    </row>
    <row r="68" spans="1:10">
      <c r="A68" s="26">
        <v>53</v>
      </c>
      <c r="B68" s="44" t="s">
        <v>87</v>
      </c>
      <c r="C68" s="45" t="s">
        <v>33</v>
      </c>
      <c r="D68" s="45" t="s">
        <v>88</v>
      </c>
      <c r="E68" s="24">
        <v>3</v>
      </c>
      <c r="F68" s="40"/>
      <c r="G68" s="40"/>
      <c r="H68" s="47">
        <f>G68/E68</f>
        <v>0</v>
      </c>
      <c r="I68" s="31">
        <f t="shared" si="26"/>
        <v>0</v>
      </c>
      <c r="J68" s="32">
        <f t="shared" si="27"/>
        <v>0</v>
      </c>
    </row>
    <row r="69" spans="1:10" hidden="1">
      <c r="A69" s="33"/>
      <c r="B69" s="48" t="s">
        <v>87</v>
      </c>
      <c r="C69" s="43"/>
      <c r="D69" s="43"/>
      <c r="E69" s="33"/>
      <c r="F69" s="43">
        <f t="shared" ref="F69:G69" si="32">SUM(F67:F68)</f>
        <v>0</v>
      </c>
      <c r="G69" s="43">
        <f t="shared" si="32"/>
        <v>0</v>
      </c>
      <c r="H69" s="43">
        <f>SUM(H67:H68)</f>
        <v>0</v>
      </c>
      <c r="I69" s="43">
        <f t="shared" ref="I69:J69" si="33">SUM(I67:I68)</f>
        <v>0</v>
      </c>
      <c r="J69" s="43">
        <f t="shared" si="33"/>
        <v>0</v>
      </c>
    </row>
    <row r="70" spans="1:10" ht="33" customHeight="1">
      <c r="A70" s="24">
        <v>54</v>
      </c>
      <c r="B70" s="82" t="s">
        <v>117</v>
      </c>
      <c r="C70" s="25" t="s">
        <v>45</v>
      </c>
      <c r="D70" s="47" t="s">
        <v>118</v>
      </c>
      <c r="E70" s="25">
        <v>3</v>
      </c>
      <c r="F70" s="40"/>
      <c r="G70" s="40"/>
      <c r="H70" s="47">
        <f>G70/E70</f>
        <v>0</v>
      </c>
      <c r="I70" s="31">
        <f t="shared" si="26"/>
        <v>0</v>
      </c>
      <c r="J70" s="32">
        <f t="shared" si="27"/>
        <v>0</v>
      </c>
    </row>
    <row r="71" spans="1:10" ht="33" customHeight="1">
      <c r="A71" s="24">
        <v>55</v>
      </c>
      <c r="B71" s="82" t="s">
        <v>117</v>
      </c>
      <c r="C71" s="25" t="s">
        <v>45</v>
      </c>
      <c r="D71" s="47" t="s">
        <v>119</v>
      </c>
      <c r="E71" s="25">
        <v>2</v>
      </c>
      <c r="F71" s="40"/>
      <c r="G71" s="40"/>
      <c r="H71" s="47">
        <f>G71/E71</f>
        <v>0</v>
      </c>
      <c r="I71" s="31">
        <f t="shared" si="26"/>
        <v>0</v>
      </c>
      <c r="J71" s="32">
        <f t="shared" si="27"/>
        <v>0</v>
      </c>
    </row>
    <row r="72" spans="1:10" ht="31.5" hidden="1">
      <c r="A72" s="33"/>
      <c r="B72" s="51" t="s">
        <v>117</v>
      </c>
      <c r="C72" s="43"/>
      <c r="D72" s="43"/>
      <c r="E72" s="33"/>
      <c r="F72" s="43">
        <f>SUM(F70:F71)</f>
        <v>0</v>
      </c>
      <c r="G72" s="43">
        <f>SUM(G70:G71)</f>
        <v>0</v>
      </c>
      <c r="H72" s="43">
        <f>SUM(H70:H71)</f>
        <v>0</v>
      </c>
      <c r="I72" s="43">
        <f t="shared" ref="I72:J72" si="34">SUM(I70:I71)</f>
        <v>0</v>
      </c>
      <c r="J72" s="43">
        <f t="shared" si="34"/>
        <v>0</v>
      </c>
    </row>
    <row r="73" spans="1:10" ht="31.5">
      <c r="A73" s="25">
        <v>56</v>
      </c>
      <c r="B73" s="50" t="s">
        <v>95</v>
      </c>
      <c r="C73" s="25" t="s">
        <v>97</v>
      </c>
      <c r="D73" s="52" t="s">
        <v>101</v>
      </c>
      <c r="E73" s="25">
        <v>12</v>
      </c>
      <c r="F73" s="40"/>
      <c r="G73" s="40"/>
      <c r="H73" s="47">
        <f>G73/E73</f>
        <v>0</v>
      </c>
      <c r="I73" s="31">
        <f t="shared" si="26"/>
        <v>0</v>
      </c>
      <c r="J73" s="32">
        <f t="shared" si="27"/>
        <v>0</v>
      </c>
    </row>
    <row r="74" spans="1:10" ht="31.5">
      <c r="A74" s="25">
        <v>57</v>
      </c>
      <c r="B74" s="50" t="s">
        <v>95</v>
      </c>
      <c r="C74" s="25" t="s">
        <v>97</v>
      </c>
      <c r="D74" s="52" t="s">
        <v>102</v>
      </c>
      <c r="E74" s="25">
        <v>6</v>
      </c>
      <c r="F74" s="40"/>
      <c r="G74" s="40"/>
      <c r="H74" s="47">
        <f>G74/E74</f>
        <v>0</v>
      </c>
      <c r="I74" s="31">
        <f t="shared" si="26"/>
        <v>0</v>
      </c>
      <c r="J74" s="32">
        <f t="shared" si="27"/>
        <v>0</v>
      </c>
    </row>
    <row r="75" spans="1:10" ht="31.5">
      <c r="A75" s="25">
        <v>58</v>
      </c>
      <c r="B75" s="50" t="s">
        <v>95</v>
      </c>
      <c r="C75" s="25" t="s">
        <v>97</v>
      </c>
      <c r="D75" s="52" t="s">
        <v>103</v>
      </c>
      <c r="E75" s="25">
        <v>1</v>
      </c>
      <c r="F75" s="40"/>
      <c r="G75" s="40"/>
      <c r="H75" s="47">
        <f>G75/E75</f>
        <v>0</v>
      </c>
      <c r="I75" s="31">
        <f t="shared" si="26"/>
        <v>0</v>
      </c>
      <c r="J75" s="32">
        <f t="shared" si="27"/>
        <v>0</v>
      </c>
    </row>
    <row r="76" spans="1:10" hidden="1">
      <c r="A76" s="33"/>
      <c r="B76" s="48" t="s">
        <v>95</v>
      </c>
      <c r="C76" s="43"/>
      <c r="D76" s="43"/>
      <c r="E76" s="33"/>
      <c r="F76" s="43">
        <f t="shared" ref="F76:G76" si="35">SUM(F73:F75)</f>
        <v>0</v>
      </c>
      <c r="G76" s="43">
        <f t="shared" si="35"/>
        <v>0</v>
      </c>
      <c r="H76" s="43">
        <f t="shared" ref="H76:J76" si="36">SUM(H73:H75)</f>
        <v>0</v>
      </c>
      <c r="I76" s="43">
        <f t="shared" si="36"/>
        <v>0</v>
      </c>
      <c r="J76" s="43">
        <f t="shared" si="36"/>
        <v>0</v>
      </c>
    </row>
    <row r="77" spans="1:10">
      <c r="A77" s="25">
        <v>59</v>
      </c>
      <c r="B77" s="50" t="s">
        <v>96</v>
      </c>
      <c r="C77" s="25" t="s">
        <v>97</v>
      </c>
      <c r="D77" s="25" t="s">
        <v>98</v>
      </c>
      <c r="E77" s="25">
        <v>15</v>
      </c>
      <c r="F77" s="40"/>
      <c r="G77" s="40"/>
      <c r="H77" s="47">
        <f>G77/E77</f>
        <v>0</v>
      </c>
      <c r="I77" s="31">
        <f t="shared" si="26"/>
        <v>0</v>
      </c>
      <c r="J77" s="32">
        <f t="shared" si="27"/>
        <v>0</v>
      </c>
    </row>
    <row r="78" spans="1:10">
      <c r="A78" s="25">
        <v>60</v>
      </c>
      <c r="B78" s="50" t="s">
        <v>96</v>
      </c>
      <c r="C78" s="25" t="s">
        <v>97</v>
      </c>
      <c r="D78" s="25" t="s">
        <v>99</v>
      </c>
      <c r="E78" s="25">
        <v>3</v>
      </c>
      <c r="F78" s="40"/>
      <c r="G78" s="40"/>
      <c r="H78" s="47">
        <f>G78/E78</f>
        <v>0</v>
      </c>
      <c r="I78" s="31">
        <f t="shared" si="26"/>
        <v>0</v>
      </c>
      <c r="J78" s="32">
        <f t="shared" si="27"/>
        <v>0</v>
      </c>
    </row>
    <row r="79" spans="1:10">
      <c r="A79" s="25">
        <v>61</v>
      </c>
      <c r="B79" s="50" t="s">
        <v>96</v>
      </c>
      <c r="C79" s="28" t="s">
        <v>45</v>
      </c>
      <c r="D79" s="25" t="s">
        <v>100</v>
      </c>
      <c r="E79" s="25">
        <v>15</v>
      </c>
      <c r="F79" s="40"/>
      <c r="G79" s="40"/>
      <c r="H79" s="47">
        <f>G79/E79</f>
        <v>0</v>
      </c>
      <c r="I79" s="31">
        <f t="shared" si="26"/>
        <v>0</v>
      </c>
      <c r="J79" s="32">
        <f t="shared" si="27"/>
        <v>0</v>
      </c>
    </row>
    <row r="80" spans="1:10" hidden="1">
      <c r="A80" s="33"/>
      <c r="B80" s="48" t="s">
        <v>96</v>
      </c>
      <c r="C80" s="43"/>
      <c r="D80" s="43"/>
      <c r="E80" s="33"/>
      <c r="F80" s="43">
        <f t="shared" ref="F80:G80" si="37">SUM(F76:F77)</f>
        <v>0</v>
      </c>
      <c r="G80" s="43">
        <f t="shared" si="37"/>
        <v>0</v>
      </c>
      <c r="H80" s="43">
        <f t="shared" ref="H80:J80" si="38">SUM(H76:H77)</f>
        <v>0</v>
      </c>
      <c r="I80" s="43">
        <f t="shared" si="38"/>
        <v>0</v>
      </c>
      <c r="J80" s="43">
        <f t="shared" si="38"/>
        <v>0</v>
      </c>
    </row>
  </sheetData>
  <sheetProtection password="9929" sheet="1" objects="1" scenarios="1" selectLockedCells="1"/>
  <mergeCells count="4">
    <mergeCell ref="A1:A2"/>
    <mergeCell ref="B1:B2"/>
    <mergeCell ref="C1:C2"/>
    <mergeCell ref="D1:D2"/>
  </mergeCells>
  <dataValidations count="1">
    <dataValidation type="whole" allowBlank="1" showInputMessage="1" showErrorMessage="1" sqref="F3:G7 F77:G79 F73:G75 F70:G71 F67:G68 F65:G65 F62:G63 F60:G60 F54:G58 F33:G52 F26:G31 F23:G24 F21:G21 F18:G19 F13:G16 F9:G11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15" zoomScaleNormal="115" workbookViewId="0">
      <selection sqref="A1:F1"/>
    </sheetView>
  </sheetViews>
  <sheetFormatPr defaultColWidth="9.140625" defaultRowHeight="15"/>
  <cols>
    <col min="1" max="1" width="3.42578125" style="1" bestFit="1" customWidth="1"/>
    <col min="2" max="2" width="30.5703125" style="1" customWidth="1"/>
    <col min="3" max="3" width="29.85546875" style="1" customWidth="1"/>
    <col min="4" max="4" width="21.42578125" style="1" customWidth="1"/>
    <col min="5" max="6" width="13.7109375" style="1" customWidth="1"/>
    <col min="7" max="7" width="4.5703125" style="1" customWidth="1"/>
    <col min="8" max="16384" width="9.140625" style="1"/>
  </cols>
  <sheetData>
    <row r="1" spans="1:6">
      <c r="A1" s="94" t="s">
        <v>141</v>
      </c>
      <c r="B1" s="94"/>
      <c r="C1" s="94"/>
      <c r="D1" s="94"/>
      <c r="E1" s="94"/>
      <c r="F1" s="94"/>
    </row>
    <row r="2" spans="1:6" ht="45" customHeight="1">
      <c r="A2" s="54" t="s">
        <v>22</v>
      </c>
      <c r="B2" s="2" t="s">
        <v>23</v>
      </c>
      <c r="C2" s="55" t="s">
        <v>116</v>
      </c>
      <c r="D2" s="55" t="s">
        <v>150</v>
      </c>
      <c r="E2" s="56" t="s">
        <v>151</v>
      </c>
      <c r="F2" s="57" t="s">
        <v>152</v>
      </c>
    </row>
    <row r="3" spans="1:6" ht="30" customHeight="1">
      <c r="A3" s="58">
        <v>1</v>
      </c>
      <c r="B3" s="59" t="s">
        <v>91</v>
      </c>
      <c r="C3" s="60" t="e">
        <f>IF(Рассчет!D3&lt;0,0,Рассчет!D3)</f>
        <v>#DIV/0!</v>
      </c>
      <c r="D3" s="60" t="e">
        <f>IF(Рассчет!E3&lt;0,0,Рассчет!E3)</f>
        <v>#DIV/0!</v>
      </c>
      <c r="E3" s="61" t="e">
        <f>IF(Рассчет!P3&lt;0,0,Рассчет!P3)</f>
        <v>#DIV/0!</v>
      </c>
      <c r="F3" s="62">
        <v>0.48</v>
      </c>
    </row>
    <row r="4" spans="1:6" ht="30" customHeight="1">
      <c r="A4" s="58">
        <v>2</v>
      </c>
      <c r="B4" s="59" t="s">
        <v>35</v>
      </c>
      <c r="C4" s="60" t="e">
        <f>IF(Рассчет!D4&lt;0,0,Рассчет!D4)</f>
        <v>#DIV/0!</v>
      </c>
      <c r="D4" s="60" t="e">
        <f>IF(Рассчет!E4&lt;0,0,Рассчет!E4)</f>
        <v>#DIV/0!</v>
      </c>
      <c r="E4" s="61" t="e">
        <f>IF(Рассчет!P4&lt;0,0,Рассчет!P4)</f>
        <v>#DIV/0!</v>
      </c>
      <c r="F4" s="62">
        <v>0.52</v>
      </c>
    </row>
    <row r="5" spans="1:6">
      <c r="A5" s="58">
        <v>3</v>
      </c>
      <c r="B5" s="59" t="s">
        <v>8</v>
      </c>
      <c r="C5" s="60" t="e">
        <f>IF(Рассчет!D5&lt;0,0,Рассчет!D5)</f>
        <v>#DIV/0!</v>
      </c>
      <c r="D5" s="60" t="e">
        <f>IF(Рассчет!E5&lt;0,0,Рассчет!E5)</f>
        <v>#DIV/0!</v>
      </c>
      <c r="E5" s="61" t="e">
        <f>IF(Рассчет!P5&lt;0,0,Рассчет!P5)</f>
        <v>#DIV/0!</v>
      </c>
      <c r="F5" s="62">
        <v>0.59</v>
      </c>
    </row>
    <row r="6" spans="1:6" ht="31.5" customHeight="1">
      <c r="A6" s="58">
        <v>4</v>
      </c>
      <c r="B6" s="59" t="s">
        <v>29</v>
      </c>
      <c r="C6" s="60" t="e">
        <f>IF(Рассчет!D6&lt;0,0,Рассчет!D6)</f>
        <v>#DIV/0!</v>
      </c>
      <c r="D6" s="60" t="e">
        <f>IF(Рассчет!E6&lt;0,0,Рассчет!E6)</f>
        <v>#DIV/0!</v>
      </c>
      <c r="E6" s="61" t="e">
        <f>IF(Рассчет!P6&lt;0,0,Рассчет!P6)</f>
        <v>#DIV/0!</v>
      </c>
      <c r="F6" s="62">
        <v>0.22</v>
      </c>
    </row>
    <row r="7" spans="1:6" ht="15" customHeight="1">
      <c r="A7" s="58">
        <v>5</v>
      </c>
      <c r="B7" s="59" t="s">
        <v>9</v>
      </c>
      <c r="C7" s="60" t="e">
        <f>IF(Рассчет!D7&lt;0,0,Рассчет!D7)</f>
        <v>#DIV/0!</v>
      </c>
      <c r="D7" s="60" t="e">
        <f>IF(Рассчет!E7&lt;0,0,Рассчет!E7)</f>
        <v>#DIV/0!</v>
      </c>
      <c r="E7" s="61" t="e">
        <f>IF(Рассчет!P7&lt;0,0,Рассчет!P7)</f>
        <v>#DIV/0!</v>
      </c>
      <c r="F7" s="62">
        <v>0.19</v>
      </c>
    </row>
    <row r="8" spans="1:6" ht="15" customHeight="1">
      <c r="A8" s="58">
        <v>6</v>
      </c>
      <c r="B8" s="59" t="s">
        <v>93</v>
      </c>
      <c r="C8" s="60" t="e">
        <f>IF(Рассчет!D8&lt;0,0,Рассчет!D8)</f>
        <v>#DIV/0!</v>
      </c>
      <c r="D8" s="60" t="e">
        <f>IF(Рассчет!E8&lt;0,0,Рассчет!E8)</f>
        <v>#DIV/0!</v>
      </c>
      <c r="E8" s="61" t="e">
        <f>IF(Рассчет!P8&lt;0,0,Рассчет!P8)</f>
        <v>#DIV/0!</v>
      </c>
      <c r="F8" s="62">
        <v>0.435</v>
      </c>
    </row>
    <row r="9" spans="1:6" ht="14.25" customHeight="1">
      <c r="A9" s="58">
        <v>7</v>
      </c>
      <c r="B9" s="59" t="s">
        <v>94</v>
      </c>
      <c r="C9" s="60" t="e">
        <f>IF(Рассчет!D9&lt;0,0,Рассчет!D9)</f>
        <v>#DIV/0!</v>
      </c>
      <c r="D9" s="60" t="e">
        <f>IF(Рассчет!E9&lt;0,0,Рассчет!E9)</f>
        <v>#DIV/0!</v>
      </c>
      <c r="E9" s="61" t="e">
        <f>IF(Рассчет!P9&lt;0,0,Рассчет!P9)</f>
        <v>#DIV/0!</v>
      </c>
      <c r="F9" s="62">
        <v>0.9</v>
      </c>
    </row>
    <row r="10" spans="1:6" ht="15.2" customHeight="1">
      <c r="A10" s="58">
        <v>8</v>
      </c>
      <c r="B10" s="59" t="s">
        <v>40</v>
      </c>
      <c r="C10" s="60" t="e">
        <f>IF(Рассчет!D10&lt;0,0,Рассчет!D10)</f>
        <v>#DIV/0!</v>
      </c>
      <c r="D10" s="60" t="e">
        <f>IF(Рассчет!E10&lt;0,0,Рассчет!E10)</f>
        <v>#DIV/0!</v>
      </c>
      <c r="E10" s="61" t="e">
        <f>IF(Рассчет!P10&lt;0,0,Рассчет!P10)</f>
        <v>#DIV/0!</v>
      </c>
      <c r="F10" s="62">
        <v>0.5</v>
      </c>
    </row>
    <row r="11" spans="1:6">
      <c r="A11" s="58">
        <v>9</v>
      </c>
      <c r="B11" s="59" t="s">
        <v>43</v>
      </c>
      <c r="C11" s="60" t="e">
        <f>IF(Рассчет!C11&lt;0,0,Рассчет!C11)</f>
        <v>#DIV/0!</v>
      </c>
      <c r="D11" s="60" t="e">
        <f>IF(Рассчет!E11&lt;0,0,Рассчет!E11)</f>
        <v>#DIV/0!</v>
      </c>
      <c r="E11" s="61" t="e">
        <f>IF(Рассчет!P11&lt;0,0,Рассчет!P11)</f>
        <v>#DIV/0!</v>
      </c>
      <c r="F11" s="62">
        <v>0.185</v>
      </c>
    </row>
    <row r="12" spans="1:6" ht="15.75" customHeight="1">
      <c r="A12" s="58">
        <v>10</v>
      </c>
      <c r="B12" s="59" t="s">
        <v>44</v>
      </c>
      <c r="C12" s="60" t="e">
        <f>IF(Рассчет!C12&lt;0,0,Рассчет!C12)</f>
        <v>#DIV/0!</v>
      </c>
      <c r="D12" s="60" t="e">
        <f>IF(Рассчет!E12&lt;0,0,Рассчет!E12)</f>
        <v>#DIV/0!</v>
      </c>
      <c r="E12" s="61" t="e">
        <f>IF(Рассчет!P12&lt;0,0,Рассчет!P12)</f>
        <v>#DIV/0!</v>
      </c>
      <c r="F12" s="62">
        <v>0.54500000000000004</v>
      </c>
    </row>
    <row r="13" spans="1:6" ht="30">
      <c r="A13" s="58">
        <v>11</v>
      </c>
      <c r="B13" s="59" t="s">
        <v>47</v>
      </c>
      <c r="C13" s="60" t="e">
        <f>IF(Рассчет!C13&lt;0,0,Рассчет!C13)</f>
        <v>#DIV/0!</v>
      </c>
      <c r="D13" s="60" t="e">
        <f>IF(Рассчет!E13&lt;0,0,Рассчет!E13)</f>
        <v>#DIV/0!</v>
      </c>
      <c r="E13" s="61" t="e">
        <f>IF(Рассчет!P13&lt;0,0,Рассчет!P13)</f>
        <v>#DIV/0!</v>
      </c>
      <c r="F13" s="62">
        <v>0.1</v>
      </c>
    </row>
    <row r="14" spans="1:6">
      <c r="A14" s="58">
        <v>12</v>
      </c>
      <c r="B14" s="59" t="s">
        <v>85</v>
      </c>
      <c r="C14" s="60" t="e">
        <f>IF(Рассчет!C14&lt;0,0,Рассчет!C14)</f>
        <v>#DIV/0!</v>
      </c>
      <c r="D14" s="60" t="e">
        <f>IF(Рассчет!E14&lt;0,0,Рассчет!E14)</f>
        <v>#DIV/0!</v>
      </c>
      <c r="E14" s="61" t="e">
        <f>IF(Рассчет!P14&lt;0,0,Рассчет!P14)</f>
        <v>#DIV/0!</v>
      </c>
      <c r="F14" s="62">
        <v>4.3999999999999997E-2</v>
      </c>
    </row>
    <row r="15" spans="1:6">
      <c r="A15" s="58">
        <v>13</v>
      </c>
      <c r="B15" s="59" t="s">
        <v>87</v>
      </c>
      <c r="C15" s="60" t="e">
        <f>IF(Рассчет!C15&lt;0,0,Рассчет!C15)</f>
        <v>#DIV/0!</v>
      </c>
      <c r="D15" s="60" t="e">
        <f>IF(Рассчет!E15&lt;0,0,Рассчет!E15)</f>
        <v>#DIV/0!</v>
      </c>
      <c r="E15" s="61" t="e">
        <f>IF(Рассчет!P15&lt;0,0,Рассчет!P15)</f>
        <v>#DIV/0!</v>
      </c>
      <c r="F15" s="62">
        <v>4.3999999999999997E-2</v>
      </c>
    </row>
    <row r="16" spans="1:6" ht="30">
      <c r="A16" s="58">
        <v>14</v>
      </c>
      <c r="B16" s="59" t="s">
        <v>117</v>
      </c>
      <c r="C16" s="60" t="e">
        <f>IF(Рассчет!C16&lt;0,0,Рассчет!C16)</f>
        <v>#DIV/0!</v>
      </c>
      <c r="D16" s="60" t="e">
        <f>IF(Рассчет!E16&lt;0,0,Рассчет!E16)</f>
        <v>#DIV/0!</v>
      </c>
      <c r="E16" s="61" t="e">
        <f>IF(Рассчет!P16&lt;0,0,Рассчет!P16)</f>
        <v>#DIV/0!</v>
      </c>
      <c r="F16" s="62">
        <v>8.7999999999999995E-2</v>
      </c>
    </row>
    <row r="17" spans="1:6">
      <c r="A17" s="58">
        <v>15</v>
      </c>
      <c r="B17" s="59" t="s">
        <v>95</v>
      </c>
      <c r="C17" s="60" t="e">
        <f>IF(Рассчет!C17&lt;0,0,Рассчет!C17)</f>
        <v>#DIV/0!</v>
      </c>
      <c r="D17" s="60" t="e">
        <f>IF(Рассчет!E17&lt;0,0,Рассчет!E17)</f>
        <v>#DIV/0!</v>
      </c>
      <c r="E17" s="61" t="e">
        <f>IF(Рассчет!P17&lt;0,0,Рассчет!P17)</f>
        <v>#DIV/0!</v>
      </c>
      <c r="F17" s="62">
        <v>0.5</v>
      </c>
    </row>
    <row r="18" spans="1:6">
      <c r="A18" s="58">
        <v>16</v>
      </c>
      <c r="B18" s="63" t="s">
        <v>96</v>
      </c>
      <c r="C18" s="60" t="e">
        <f>IF(Рассчет!C18&lt;0,0,Рассчет!C18)</f>
        <v>#DIV/0!</v>
      </c>
      <c r="D18" s="60" t="e">
        <f>IF(Рассчет!E18&lt;0,0,Рассчет!E18)</f>
        <v>#DIV/0!</v>
      </c>
      <c r="E18" s="61" t="e">
        <f>IF(Рассчет!P18&lt;0,0,Рассчет!P18)</f>
        <v>#DIV/0!</v>
      </c>
      <c r="F18" s="62">
        <v>0.9</v>
      </c>
    </row>
    <row r="19" spans="1:6" hidden="1"/>
  </sheetData>
  <sheetProtection password="9929" sheet="1" objects="1" scenarios="1" selectLockedCells="1"/>
  <mergeCells count="1">
    <mergeCell ref="A1:F1"/>
  </mergeCells>
  <conditionalFormatting sqref="E3">
    <cfRule type="expression" dxfId="31" priority="34" stopIfTrue="1">
      <formula>ABS($E$3-$F$3)&lt;0.02</formula>
    </cfRule>
    <cfRule type="expression" dxfId="30" priority="33" stopIfTrue="1">
      <formula>ABS($E$3-$F$3)&gt;0.02</formula>
    </cfRule>
  </conditionalFormatting>
  <conditionalFormatting sqref="E4">
    <cfRule type="expression" dxfId="29" priority="32" stopIfTrue="1">
      <formula>ABS($E$4-$F$4)&lt;0.02</formula>
    </cfRule>
    <cfRule type="expression" dxfId="28" priority="31" stopIfTrue="1">
      <formula>ABS($E$4-$F$4)&gt;0.02</formula>
    </cfRule>
  </conditionalFormatting>
  <conditionalFormatting sqref="E5">
    <cfRule type="expression" dxfId="27" priority="30" stopIfTrue="1">
      <formula>ABS($E$5-$F$5)&lt;0.02</formula>
    </cfRule>
    <cfRule type="expression" dxfId="26" priority="29" stopIfTrue="1">
      <formula>ABS($E$5-$F$5)&gt;0.02</formula>
    </cfRule>
  </conditionalFormatting>
  <conditionalFormatting sqref="E6">
    <cfRule type="expression" dxfId="25" priority="28" stopIfTrue="1">
      <formula>ABS($E$6-$F$6)&lt;0.02</formula>
    </cfRule>
    <cfRule type="expression" dxfId="24" priority="27" stopIfTrue="1">
      <formula>ABS($E$6-$F$6)&gt;0.02</formula>
    </cfRule>
  </conditionalFormatting>
  <conditionalFormatting sqref="E7">
    <cfRule type="expression" dxfId="23" priority="26" stopIfTrue="1">
      <formula>ABS($E$7-$F$7)&lt;0.02</formula>
    </cfRule>
    <cfRule type="expression" dxfId="22" priority="25" stopIfTrue="1">
      <formula>ABS($E$7-$F$7)&gt;0.02</formula>
    </cfRule>
  </conditionalFormatting>
  <conditionalFormatting sqref="E8">
    <cfRule type="expression" dxfId="21" priority="24" stopIfTrue="1">
      <formula>ABS($E$8-$F$8)&lt;0.02</formula>
    </cfRule>
    <cfRule type="expression" dxfId="20" priority="23" stopIfTrue="1">
      <formula>ABS($E$8-$F$8)&gt;0.02</formula>
    </cfRule>
  </conditionalFormatting>
  <conditionalFormatting sqref="E9">
    <cfRule type="expression" dxfId="19" priority="22" stopIfTrue="1">
      <formula>ABS($E$9-$F$9)&lt;0.02</formula>
    </cfRule>
    <cfRule type="expression" dxfId="18" priority="21" stopIfTrue="1">
      <formula>ABS($E$9-$F$9)&gt;0.02</formula>
    </cfRule>
  </conditionalFormatting>
  <conditionalFormatting sqref="E10">
    <cfRule type="expression" dxfId="17" priority="18" stopIfTrue="1">
      <formula>ABS($E$10-$F$10)&lt;0.02</formula>
    </cfRule>
    <cfRule type="expression" dxfId="16" priority="17" stopIfTrue="1">
      <formula>ABS($E$10-$F$10)&gt;0.02</formula>
    </cfRule>
  </conditionalFormatting>
  <conditionalFormatting sqref="E11">
    <cfRule type="expression" dxfId="15" priority="16" stopIfTrue="1">
      <formula>ABS($E$11-$F$11)&lt;0.02</formula>
    </cfRule>
    <cfRule type="expression" dxfId="14" priority="15" stopIfTrue="1">
      <formula>ABS($E$11-$F$11)&gt;0.02</formula>
    </cfRule>
  </conditionalFormatting>
  <conditionalFormatting sqref="E12">
    <cfRule type="expression" dxfId="13" priority="14" stopIfTrue="1">
      <formula>ABS($E$12-$F$12)&lt;0.02</formula>
    </cfRule>
    <cfRule type="expression" dxfId="12" priority="13" stopIfTrue="1">
      <formula>ABS($E$12-$F$12)&gt;0.02</formula>
    </cfRule>
  </conditionalFormatting>
  <conditionalFormatting sqref="E13">
    <cfRule type="expression" dxfId="11" priority="12" stopIfTrue="1">
      <formula>ABS($E$13-$F$13)&lt;0.02</formula>
    </cfRule>
    <cfRule type="expression" dxfId="10" priority="11" stopIfTrue="1">
      <formula>ABS($E$13-$F$13)&gt;0.02</formula>
    </cfRule>
  </conditionalFormatting>
  <conditionalFormatting sqref="E14">
    <cfRule type="expression" dxfId="9" priority="10" stopIfTrue="1">
      <formula>ABS($E$14-$F$14)&lt;0.02</formula>
    </cfRule>
    <cfRule type="expression" dxfId="8" priority="9" stopIfTrue="1">
      <formula>ABS($E$14-$F$14)&gt;0.02</formula>
    </cfRule>
  </conditionalFormatting>
  <conditionalFormatting sqref="E15">
    <cfRule type="expression" dxfId="7" priority="8" stopIfTrue="1">
      <formula>ABS($E$15-$F$15)&gt;0.02</formula>
    </cfRule>
    <cfRule type="expression" dxfId="6" priority="7" stopIfTrue="1">
      <formula>ABS($E$15-$F$15)&lt;0.02</formula>
    </cfRule>
  </conditionalFormatting>
  <conditionalFormatting sqref="E16">
    <cfRule type="expression" dxfId="5" priority="6" stopIfTrue="1">
      <formula>ABS($E$16-$F$16)&lt;0.02</formula>
    </cfRule>
    <cfRule type="expression" dxfId="4" priority="5" stopIfTrue="1">
      <formula>ABS($E$16-$F$16)&gt;0.02</formula>
    </cfRule>
  </conditionalFormatting>
  <conditionalFormatting sqref="E17">
    <cfRule type="expression" dxfId="3" priority="4" stopIfTrue="1">
      <formula>ABS($E$17-$F$17)&lt;0.02</formula>
    </cfRule>
    <cfRule type="expression" dxfId="2" priority="3" stopIfTrue="1">
      <formula>ABS($E$17-$F$17)&gt;0.02</formula>
    </cfRule>
  </conditionalFormatting>
  <conditionalFormatting sqref="E18">
    <cfRule type="expression" dxfId="1" priority="2" stopIfTrue="1">
      <formula>ABS($E$18-$F$18)&lt;0.02</formula>
    </cfRule>
    <cfRule type="expression" dxfId="0" priority="1" stopIfTrue="1">
      <formula>ABS($E$18-$F$18)&gt;0.02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160" zoomScaleNormal="160" workbookViewId="0">
      <selection sqref="A1:A2"/>
    </sheetView>
  </sheetViews>
  <sheetFormatPr defaultColWidth="9.140625" defaultRowHeight="15"/>
  <cols>
    <col min="1" max="1" width="4.85546875" style="68" customWidth="1"/>
    <col min="2" max="2" width="34.85546875" style="68" customWidth="1"/>
    <col min="3" max="3" width="9.140625" style="68" hidden="1" customWidth="1"/>
    <col min="4" max="5" width="10.28515625" style="68" hidden="1" customWidth="1"/>
    <col min="6" max="9" width="5.7109375" style="68" hidden="1" customWidth="1"/>
    <col min="10" max="10" width="5.5703125" style="68" hidden="1" customWidth="1"/>
    <col min="11" max="11" width="5.7109375" style="68" hidden="1" customWidth="1"/>
    <col min="12" max="12" width="4.85546875" style="68" hidden="1" customWidth="1"/>
    <col min="13" max="17" width="9.140625" style="68" hidden="1" customWidth="1"/>
    <col min="18" max="16384" width="9.140625" style="68"/>
  </cols>
  <sheetData>
    <row r="1" spans="1:17" ht="51.75" customHeight="1">
      <c r="A1" s="97" t="s">
        <v>22</v>
      </c>
      <c r="B1" s="95" t="s">
        <v>23</v>
      </c>
      <c r="C1" s="64" t="s">
        <v>21</v>
      </c>
      <c r="D1" s="64" t="s">
        <v>14</v>
      </c>
      <c r="E1" s="65" t="s">
        <v>150</v>
      </c>
      <c r="F1" s="66" t="s">
        <v>134</v>
      </c>
      <c r="G1" s="66" t="s">
        <v>135</v>
      </c>
      <c r="H1" s="66" t="s">
        <v>136</v>
      </c>
      <c r="I1" s="66" t="s">
        <v>137</v>
      </c>
      <c r="J1" s="66" t="s">
        <v>138</v>
      </c>
      <c r="K1" s="66" t="s">
        <v>139</v>
      </c>
      <c r="L1" s="66" t="s">
        <v>140</v>
      </c>
      <c r="M1" s="64" t="s">
        <v>146</v>
      </c>
      <c r="N1" s="67" t="s">
        <v>147</v>
      </c>
      <c r="O1" s="64" t="s">
        <v>133</v>
      </c>
      <c r="P1" s="66" t="s">
        <v>136</v>
      </c>
      <c r="Q1" s="66" t="s">
        <v>153</v>
      </c>
    </row>
    <row r="2" spans="1:17" hidden="1">
      <c r="A2" s="98"/>
      <c r="B2" s="96"/>
      <c r="C2" s="69" t="s">
        <v>15</v>
      </c>
      <c r="D2" s="69" t="s">
        <v>16</v>
      </c>
      <c r="E2" s="69" t="s">
        <v>149</v>
      </c>
      <c r="F2" s="70" t="s">
        <v>17</v>
      </c>
      <c r="G2" s="70" t="s">
        <v>79</v>
      </c>
      <c r="H2" s="70" t="s">
        <v>18</v>
      </c>
      <c r="I2" s="70" t="s">
        <v>77</v>
      </c>
      <c r="J2" s="71" t="s">
        <v>19</v>
      </c>
      <c r="K2" s="71" t="s">
        <v>78</v>
      </c>
      <c r="L2" s="71" t="s">
        <v>20</v>
      </c>
      <c r="M2" s="72" t="s">
        <v>128</v>
      </c>
      <c r="N2" s="73" t="s">
        <v>129</v>
      </c>
      <c r="O2" s="74"/>
      <c r="P2" s="70" t="s">
        <v>18</v>
      </c>
      <c r="Q2" s="75" t="s">
        <v>154</v>
      </c>
    </row>
    <row r="3" spans="1:17" ht="11.45" customHeight="1">
      <c r="A3" s="76">
        <v>1</v>
      </c>
      <c r="B3" s="77" t="s">
        <v>91</v>
      </c>
      <c r="C3" s="69" t="e">
        <f>(Когорты!C4+G3)*240*I3*K3</f>
        <v>#DIV/0!</v>
      </c>
      <c r="D3" s="78" t="e">
        <f>(Когорты!C3+F3)*240*H3*J3*L3*1.5-'Данные аптека'!H8</f>
        <v>#DIV/0!</v>
      </c>
      <c r="E3" s="78" t="e">
        <f>(Когорты!C3+F3)*240*H3*J3*N3*1.5-'Данные аптека'!H8</f>
        <v>#DIV/0!</v>
      </c>
      <c r="F3" s="76" t="e">
        <f>Когорты!C3*Когорты!C3/Когорты!C4</f>
        <v>#DIV/0!</v>
      </c>
      <c r="G3" s="76" t="e">
        <f>Когорты!C4*Когорты!C4/Когорты!C5</f>
        <v>#DIV/0!</v>
      </c>
      <c r="H3" s="76">
        <v>0.48</v>
      </c>
      <c r="I3" s="76">
        <f>H3</f>
        <v>0.48</v>
      </c>
      <c r="J3" s="2" t="e">
        <f>(100-((Когорты!I15*100/Когорты!C19)/3))/100</f>
        <v>#DIV/0!</v>
      </c>
      <c r="K3" s="2" t="e">
        <f>J3</f>
        <v>#DIV/0!</v>
      </c>
      <c r="L3" s="76" t="e">
        <f>'Данные аптека'!I8/C3</f>
        <v>#DIV/0!</v>
      </c>
      <c r="M3" s="72">
        <f>Когорты!E3*H3*240</f>
        <v>0</v>
      </c>
      <c r="N3" s="73" t="e">
        <f>M3/C3</f>
        <v>#DIV/0!</v>
      </c>
      <c r="O3" s="79">
        <f>'Данные аптека'!J8</f>
        <v>0</v>
      </c>
      <c r="P3" s="75" t="e">
        <f>Q3/Когорты!E4</f>
        <v>#DIV/0!</v>
      </c>
      <c r="Q3" s="75" t="e">
        <f>(D3+'Данные аптека'!H8)/240</f>
        <v>#DIV/0!</v>
      </c>
    </row>
    <row r="4" spans="1:17" ht="11.45" customHeight="1">
      <c r="A4" s="76">
        <v>2</v>
      </c>
      <c r="B4" s="77" t="s">
        <v>35</v>
      </c>
      <c r="C4" s="69" t="e">
        <f>(Когорты!C4+G4)*240*I4*K4</f>
        <v>#DIV/0!</v>
      </c>
      <c r="D4" s="78" t="e">
        <f>(Когорты!C3+F4)*240*H4*J4*L4*1.5-'Данные аптека'!H12</f>
        <v>#DIV/0!</v>
      </c>
      <c r="E4" s="78" t="e">
        <f>(Когорты!C3+F4)*240*H4*J4*N4*1.5-'Данные аптека'!H12</f>
        <v>#DIV/0!</v>
      </c>
      <c r="F4" s="80" t="e">
        <f>F3</f>
        <v>#DIV/0!</v>
      </c>
      <c r="G4" s="76" t="e">
        <f>G3</f>
        <v>#DIV/0!</v>
      </c>
      <c r="H4" s="76">
        <v>0.52</v>
      </c>
      <c r="I4" s="76">
        <f t="shared" ref="I4:I10" si="0">H4</f>
        <v>0.52</v>
      </c>
      <c r="J4" s="2" t="e">
        <f>(100-((Когорты!I15*100/Когорты!C19)/3))/100</f>
        <v>#DIV/0!</v>
      </c>
      <c r="K4" s="2" t="e">
        <f t="shared" ref="K4:K10" si="1">J4</f>
        <v>#DIV/0!</v>
      </c>
      <c r="L4" s="76" t="e">
        <f>'Данные аптека'!I12/C4</f>
        <v>#DIV/0!</v>
      </c>
      <c r="M4" s="72">
        <f>Когорты!E3*H4*240</f>
        <v>0</v>
      </c>
      <c r="N4" s="73" t="e">
        <f t="shared" ref="N4:N10" si="2">M4/C4</f>
        <v>#DIV/0!</v>
      </c>
      <c r="O4" s="79">
        <f>'Данные аптека'!J12</f>
        <v>0</v>
      </c>
      <c r="P4" s="75" t="e">
        <f>Q4/Когорты!E4</f>
        <v>#DIV/0!</v>
      </c>
      <c r="Q4" s="75" t="e">
        <f>(D4+'Данные аптека'!H12)/240</f>
        <v>#DIV/0!</v>
      </c>
    </row>
    <row r="5" spans="1:17" ht="11.45" customHeight="1">
      <c r="A5" s="76">
        <v>3</v>
      </c>
      <c r="B5" s="77" t="s">
        <v>8</v>
      </c>
      <c r="C5" s="69" t="e">
        <f>(Когорты!C4+Когорты!C5+G5)*360*I5*K5</f>
        <v>#DIV/0!</v>
      </c>
      <c r="D5" s="78" t="e">
        <f>(Когорты!C3+Когорты!C4+F5)*360*H5*J5*L5*1.5-'Данные аптека'!H17</f>
        <v>#DIV/0!</v>
      </c>
      <c r="E5" s="78" t="e">
        <f>(Когорты!C3+Когорты!C4+F5)*360*H5*J5*N5*1.5-'Данные аптека'!H17</f>
        <v>#DIV/0!</v>
      </c>
      <c r="F5" s="80" t="e">
        <f t="shared" ref="F5:F18" si="3">F4</f>
        <v>#DIV/0!</v>
      </c>
      <c r="G5" s="76" t="e">
        <f t="shared" ref="G5:G10" si="4">G4</f>
        <v>#DIV/0!</v>
      </c>
      <c r="H5" s="76">
        <v>0.59</v>
      </c>
      <c r="I5" s="76">
        <f t="shared" si="0"/>
        <v>0.59</v>
      </c>
      <c r="J5" s="2" t="e">
        <f>(100-((Когорты!I15*100/Когорты!C19)/2))/100</f>
        <v>#DIV/0!</v>
      </c>
      <c r="K5" s="2" t="e">
        <f t="shared" si="1"/>
        <v>#DIV/0!</v>
      </c>
      <c r="L5" s="76" t="e">
        <f>'Данные аптека'!I17/C5</f>
        <v>#DIV/0!</v>
      </c>
      <c r="M5" s="72">
        <f>Когорты!E3*H5*360</f>
        <v>0</v>
      </c>
      <c r="N5" s="73" t="e">
        <f t="shared" si="2"/>
        <v>#DIV/0!</v>
      </c>
      <c r="O5" s="79">
        <f>'Данные аптека'!J17</f>
        <v>0</v>
      </c>
      <c r="P5" s="75" t="e">
        <f>Q5/Когорты!E4</f>
        <v>#DIV/0!</v>
      </c>
      <c r="Q5" s="75" t="e">
        <f>(D5+'Данные аптека'!H17)/360</f>
        <v>#DIV/0!</v>
      </c>
    </row>
    <row r="6" spans="1:17" ht="11.45" customHeight="1">
      <c r="A6" s="76">
        <v>4</v>
      </c>
      <c r="B6" s="77" t="s">
        <v>29</v>
      </c>
      <c r="C6" s="69" t="e">
        <f>(Когорты!C4+Когорты!C5+G6)*360*I6*K6</f>
        <v>#DIV/0!</v>
      </c>
      <c r="D6" s="78" t="e">
        <f>(Когорты!C3+Когорты!C4+F6)*360*H6*J6*L6*1.5-'Данные аптека'!H20</f>
        <v>#DIV/0!</v>
      </c>
      <c r="E6" s="78" t="e">
        <f>(Когорты!C3+Когорты!C4+F6)*360*H6*J6*N6*1.5-'Данные аптека'!H20</f>
        <v>#DIV/0!</v>
      </c>
      <c r="F6" s="80" t="e">
        <f t="shared" si="3"/>
        <v>#DIV/0!</v>
      </c>
      <c r="G6" s="76" t="e">
        <f t="shared" si="4"/>
        <v>#DIV/0!</v>
      </c>
      <c r="H6" s="76">
        <v>0.22</v>
      </c>
      <c r="I6" s="76">
        <f t="shared" si="0"/>
        <v>0.22</v>
      </c>
      <c r="J6" s="2" t="e">
        <f>(100-((Когорты!I15*100/Когорты!C19)/2))/100</f>
        <v>#DIV/0!</v>
      </c>
      <c r="K6" s="2" t="e">
        <f t="shared" si="1"/>
        <v>#DIV/0!</v>
      </c>
      <c r="L6" s="76" t="e">
        <f>'Данные аптека'!I20/C6</f>
        <v>#DIV/0!</v>
      </c>
      <c r="M6" s="72">
        <f>Когорты!E3*H6*360</f>
        <v>0</v>
      </c>
      <c r="N6" s="73" t="e">
        <f t="shared" si="2"/>
        <v>#DIV/0!</v>
      </c>
      <c r="O6" s="79">
        <f>'Данные аптека'!J20</f>
        <v>0</v>
      </c>
      <c r="P6" s="75" t="e">
        <f>Q6/Когорты!E4</f>
        <v>#DIV/0!</v>
      </c>
      <c r="Q6" s="75" t="e">
        <f>(D6+'Данные аптека'!H20)/360</f>
        <v>#DIV/0!</v>
      </c>
    </row>
    <row r="7" spans="1:17" ht="11.45" customHeight="1">
      <c r="A7" s="76">
        <v>5</v>
      </c>
      <c r="B7" s="77" t="s">
        <v>9</v>
      </c>
      <c r="C7" s="69" t="e">
        <f>(Когорты!C4+Когорты!C5+G7)*360*I7*K7</f>
        <v>#DIV/0!</v>
      </c>
      <c r="D7" s="78" t="e">
        <f>(Когорты!C3+Когорты!C4+F7)*360*H7*J7*L7*1.5-'Данные аптека'!H22</f>
        <v>#DIV/0!</v>
      </c>
      <c r="E7" s="78" t="e">
        <f>(Когорты!C3+Когорты!C4+F7)*360*H7*J7*N7*1.5-'Данные аптека'!H22</f>
        <v>#DIV/0!</v>
      </c>
      <c r="F7" s="80" t="e">
        <f t="shared" si="3"/>
        <v>#DIV/0!</v>
      </c>
      <c r="G7" s="76" t="e">
        <f t="shared" si="4"/>
        <v>#DIV/0!</v>
      </c>
      <c r="H7" s="76">
        <v>0.19</v>
      </c>
      <c r="I7" s="76">
        <f t="shared" si="0"/>
        <v>0.19</v>
      </c>
      <c r="J7" s="2" t="e">
        <f>(100-((Когорты!I15*100/Когорты!C19)/2))/100</f>
        <v>#DIV/0!</v>
      </c>
      <c r="K7" s="2" t="e">
        <f t="shared" si="1"/>
        <v>#DIV/0!</v>
      </c>
      <c r="L7" s="76" t="e">
        <f>'Данные аптека'!I22/C7</f>
        <v>#DIV/0!</v>
      </c>
      <c r="M7" s="72">
        <f>Когорты!E3*H7*360</f>
        <v>0</v>
      </c>
      <c r="N7" s="73" t="e">
        <f t="shared" si="2"/>
        <v>#DIV/0!</v>
      </c>
      <c r="O7" s="79">
        <f>'Данные аптека'!J22</f>
        <v>0</v>
      </c>
      <c r="P7" s="75" t="e">
        <f>Q7/Когорты!E4</f>
        <v>#DIV/0!</v>
      </c>
      <c r="Q7" s="75" t="e">
        <f>(D7+'Данные аптека'!H22)/360</f>
        <v>#DIV/0!</v>
      </c>
    </row>
    <row r="8" spans="1:17" ht="11.45" customHeight="1">
      <c r="A8" s="76">
        <v>6</v>
      </c>
      <c r="B8" s="77" t="s">
        <v>93</v>
      </c>
      <c r="C8" s="69" t="e">
        <f>(Когорты!C4+Когорты!C5+G8)*360*I8*K8</f>
        <v>#DIV/0!</v>
      </c>
      <c r="D8" s="78" t="e">
        <f>(Когорты!C3+Когорты!C4+F8)*360*H8*J8*L8*1.5-'Данные аптека'!H25</f>
        <v>#DIV/0!</v>
      </c>
      <c r="E8" s="78" t="e">
        <f>(Когорты!C3+Когорты!C4+F8)*360*H8*J8*N8*1.5-'Данные аптека'!H25</f>
        <v>#DIV/0!</v>
      </c>
      <c r="F8" s="80" t="e">
        <f t="shared" si="3"/>
        <v>#DIV/0!</v>
      </c>
      <c r="G8" s="76" t="e">
        <f t="shared" si="4"/>
        <v>#DIV/0!</v>
      </c>
      <c r="H8" s="76">
        <v>0.435</v>
      </c>
      <c r="I8" s="76">
        <f t="shared" si="0"/>
        <v>0.435</v>
      </c>
      <c r="J8" s="2" t="e">
        <f>(100-((Когорты!I15*100/Когорты!C19)/2))/100</f>
        <v>#DIV/0!</v>
      </c>
      <c r="K8" s="2" t="e">
        <f t="shared" si="1"/>
        <v>#DIV/0!</v>
      </c>
      <c r="L8" s="76" t="e">
        <f>'Данные аптека'!I25/C8</f>
        <v>#DIV/0!</v>
      </c>
      <c r="M8" s="72">
        <f>Когорты!E3*H8*360</f>
        <v>0</v>
      </c>
      <c r="N8" s="73" t="e">
        <f t="shared" si="2"/>
        <v>#DIV/0!</v>
      </c>
      <c r="O8" s="79">
        <f>'Данные аптека'!J25</f>
        <v>0</v>
      </c>
      <c r="P8" s="75" t="e">
        <f>Q8/Когорты!E4</f>
        <v>#DIV/0!</v>
      </c>
      <c r="Q8" s="75" t="e">
        <f>(D8+'Данные аптека'!H25)/360</f>
        <v>#DIV/0!</v>
      </c>
    </row>
    <row r="9" spans="1:17" ht="11.45" customHeight="1">
      <c r="A9" s="76">
        <v>7</v>
      </c>
      <c r="B9" s="77" t="s">
        <v>94</v>
      </c>
      <c r="C9" s="69" t="e">
        <f>(Когорты!C4+Когорты!C5+G9)*360*I9*K9</f>
        <v>#DIV/0!</v>
      </c>
      <c r="D9" s="78" t="e">
        <f>(Когорты!C3+Когорты!C4+F9)*360*H9*J9*L9*1.5-'Данные аптека'!H32</f>
        <v>#DIV/0!</v>
      </c>
      <c r="E9" s="78" t="e">
        <f>(Когорты!C3+Когорты!C4+F9)*360*H9*J9*N9*1.5-'Данные аптека'!H32</f>
        <v>#DIV/0!</v>
      </c>
      <c r="F9" s="80" t="e">
        <f t="shared" si="3"/>
        <v>#DIV/0!</v>
      </c>
      <c r="G9" s="76" t="e">
        <f t="shared" si="4"/>
        <v>#DIV/0!</v>
      </c>
      <c r="H9" s="76">
        <v>0.9</v>
      </c>
      <c r="I9" s="76">
        <f t="shared" si="0"/>
        <v>0.9</v>
      </c>
      <c r="J9" s="2" t="e">
        <f>(100-((Когорты!I15*100/Когорты!C19)/2))/100</f>
        <v>#DIV/0!</v>
      </c>
      <c r="K9" s="2" t="e">
        <f t="shared" si="1"/>
        <v>#DIV/0!</v>
      </c>
      <c r="L9" s="76" t="e">
        <f>'Данные аптека'!I32/C9</f>
        <v>#DIV/0!</v>
      </c>
      <c r="M9" s="72">
        <f>Когорты!E3*H9*360</f>
        <v>0</v>
      </c>
      <c r="N9" s="73" t="e">
        <f t="shared" si="2"/>
        <v>#DIV/0!</v>
      </c>
      <c r="O9" s="79">
        <f>'Данные аптека'!J32</f>
        <v>0</v>
      </c>
      <c r="P9" s="75" t="e">
        <f>Q9/Когорты!E4</f>
        <v>#DIV/0!</v>
      </c>
      <c r="Q9" s="75" t="e">
        <f>(D9+'Данные аптека'!H32)/360</f>
        <v>#DIV/0!</v>
      </c>
    </row>
    <row r="10" spans="1:17" ht="11.45" customHeight="1">
      <c r="A10" s="76">
        <v>8</v>
      </c>
      <c r="B10" s="77" t="s">
        <v>40</v>
      </c>
      <c r="C10" s="69" t="e">
        <f>(Когорты!C4+Когорты!C5+G10)*360*I10*K10</f>
        <v>#DIV/0!</v>
      </c>
      <c r="D10" s="78" t="e">
        <f>(Когорты!C3+Когорты!C4+F10)*360*H10*J10*L10*1.5-'Данные аптека'!H53</f>
        <v>#DIV/0!</v>
      </c>
      <c r="E10" s="78" t="e">
        <f>(Когорты!C3+Когорты!C4+F10)*360*H10*J10*N10*1.5-'Данные аптека'!H53</f>
        <v>#DIV/0!</v>
      </c>
      <c r="F10" s="80" t="e">
        <f t="shared" si="3"/>
        <v>#DIV/0!</v>
      </c>
      <c r="G10" s="76" t="e">
        <f t="shared" si="4"/>
        <v>#DIV/0!</v>
      </c>
      <c r="H10" s="76">
        <v>0.5</v>
      </c>
      <c r="I10" s="76">
        <f t="shared" si="0"/>
        <v>0.5</v>
      </c>
      <c r="J10" s="2" t="e">
        <f>(100-((Когорты!I15*100/Когорты!C19)/2))/100</f>
        <v>#DIV/0!</v>
      </c>
      <c r="K10" s="2" t="e">
        <f t="shared" si="1"/>
        <v>#DIV/0!</v>
      </c>
      <c r="L10" s="76" t="e">
        <f>'Данные аптека'!I53/C10</f>
        <v>#DIV/0!</v>
      </c>
      <c r="M10" s="72">
        <f>Когорты!E3*H10*360</f>
        <v>0</v>
      </c>
      <c r="N10" s="73" t="e">
        <f t="shared" si="2"/>
        <v>#DIV/0!</v>
      </c>
      <c r="O10" s="79">
        <f>'Данные аптека'!J53</f>
        <v>0</v>
      </c>
      <c r="P10" s="75" t="e">
        <f>Q10/Когорты!E4</f>
        <v>#DIV/0!</v>
      </c>
      <c r="Q10" s="75" t="e">
        <f>(D10+'Данные аптека'!H53)/360</f>
        <v>#DIV/0!</v>
      </c>
    </row>
    <row r="11" spans="1:17" ht="11.45" customHeight="1">
      <c r="A11" s="76">
        <v>9</v>
      </c>
      <c r="B11" s="77" t="s">
        <v>43</v>
      </c>
      <c r="C11" s="78" t="e">
        <f>D11-'Данные аптека'!H59</f>
        <v>#DIV/0!</v>
      </c>
      <c r="D11" s="78" t="e">
        <f>(F11)*360*H11*J11*L11*1.5</f>
        <v>#DIV/0!</v>
      </c>
      <c r="E11" s="78" t="e">
        <f>(F11)*360*H11*J11*N11*1.5-'Данные аптека'!H59</f>
        <v>#DIV/0!</v>
      </c>
      <c r="F11" s="80" t="e">
        <f t="shared" si="3"/>
        <v>#DIV/0!</v>
      </c>
      <c r="G11" s="76"/>
      <c r="H11" s="76">
        <v>0.185</v>
      </c>
      <c r="I11" s="76"/>
      <c r="J11" s="2" t="e">
        <f>(100-((Когорты!I15*100/Когорты!C19)/2))/100</f>
        <v>#DIV/0!</v>
      </c>
      <c r="K11" s="2"/>
      <c r="L11" s="76">
        <v>1</v>
      </c>
      <c r="M11" s="72">
        <f>Когорты!E4*H11*360</f>
        <v>0</v>
      </c>
      <c r="N11" s="73" t="e">
        <f>M11/D11</f>
        <v>#DIV/0!</v>
      </c>
      <c r="O11" s="79">
        <f>'Данные аптека'!J59</f>
        <v>0</v>
      </c>
      <c r="P11" s="75" t="e">
        <f>Q11/Когорты!E4</f>
        <v>#DIV/0!</v>
      </c>
      <c r="Q11" s="75" t="e">
        <f>D11/360</f>
        <v>#DIV/0!</v>
      </c>
    </row>
    <row r="12" spans="1:17" ht="11.45" customHeight="1">
      <c r="A12" s="76">
        <v>10</v>
      </c>
      <c r="B12" s="77" t="s">
        <v>44</v>
      </c>
      <c r="C12" s="78" t="e">
        <f>D12-'Данные аптека'!H61</f>
        <v>#DIV/0!</v>
      </c>
      <c r="D12" s="78" t="e">
        <f>(F12)*180*H12*J12*L12*1.5-'Данные аптека'!H61</f>
        <v>#DIV/0!</v>
      </c>
      <c r="E12" s="78" t="e">
        <f>(F12)*180*H12*J12*N12*1.5-'Данные аптека'!H61</f>
        <v>#DIV/0!</v>
      </c>
      <c r="F12" s="80" t="e">
        <f t="shared" si="3"/>
        <v>#DIV/0!</v>
      </c>
      <c r="G12" s="76"/>
      <c r="H12" s="76">
        <v>0.54500000000000004</v>
      </c>
      <c r="I12" s="76"/>
      <c r="J12" s="2" t="e">
        <f>(100-((Когорты!I15*100/Когорты!C19)/4))/100</f>
        <v>#DIV/0!</v>
      </c>
      <c r="K12" s="2"/>
      <c r="L12" s="76">
        <f>L11</f>
        <v>1</v>
      </c>
      <c r="M12" s="72">
        <f>Когорты!E4*H12*180</f>
        <v>0</v>
      </c>
      <c r="N12" s="73" t="e">
        <f>M12/D12</f>
        <v>#DIV/0!</v>
      </c>
      <c r="O12" s="79">
        <f>'Данные аптека'!J61</f>
        <v>0</v>
      </c>
      <c r="P12" s="75" t="e">
        <f>Q12/Когорты!E4</f>
        <v>#DIV/0!</v>
      </c>
      <c r="Q12" s="75" t="e">
        <f>D12/360</f>
        <v>#DIV/0!</v>
      </c>
    </row>
    <row r="13" spans="1:17" ht="24.2" customHeight="1">
      <c r="A13" s="76">
        <v>11</v>
      </c>
      <c r="B13" s="81" t="s">
        <v>47</v>
      </c>
      <c r="C13" s="78" t="e">
        <f>D13-'Данные аптека'!H64</f>
        <v>#DIV/0!</v>
      </c>
      <c r="D13" s="78" t="e">
        <f>(F13)*180*H13*J13*L13*1.5-'Данные аптека'!H64</f>
        <v>#DIV/0!</v>
      </c>
      <c r="E13" s="78" t="e">
        <f>(F13)*180*H13*J13*N13*1.5-'Данные аптека'!H64</f>
        <v>#DIV/0!</v>
      </c>
      <c r="F13" s="80" t="e">
        <f t="shared" si="3"/>
        <v>#DIV/0!</v>
      </c>
      <c r="G13" s="76"/>
      <c r="H13" s="76">
        <v>0.1</v>
      </c>
      <c r="I13" s="76"/>
      <c r="J13" s="2" t="e">
        <f>(100-((Когорты!I15*100/Когорты!C19)/4))/100</f>
        <v>#DIV/0!</v>
      </c>
      <c r="K13" s="2"/>
      <c r="L13" s="76">
        <f t="shared" ref="L13:L18" si="5">L12</f>
        <v>1</v>
      </c>
      <c r="M13" s="72">
        <f>Когорты!E4*H13*180</f>
        <v>0</v>
      </c>
      <c r="N13" s="73" t="e">
        <f t="shared" ref="N13:N18" si="6">M13/D13</f>
        <v>#DIV/0!</v>
      </c>
      <c r="O13" s="79">
        <f>'Данные аптека'!J64</f>
        <v>0</v>
      </c>
      <c r="P13" s="75" t="e">
        <f>Q13/Когорты!E4</f>
        <v>#DIV/0!</v>
      </c>
      <c r="Q13" s="75" t="e">
        <f>D13/1800</f>
        <v>#DIV/0!</v>
      </c>
    </row>
    <row r="14" spans="1:17" ht="11.45" customHeight="1">
      <c r="A14" s="76">
        <v>12</v>
      </c>
      <c r="B14" s="75" t="s">
        <v>85</v>
      </c>
      <c r="C14" s="78" t="e">
        <f>D14-'Данные аптека'!H66</f>
        <v>#DIV/0!</v>
      </c>
      <c r="D14" s="78" t="e">
        <f>(F14)*180*H14*J14*L14*1.5-'Данные аптека'!H66</f>
        <v>#DIV/0!</v>
      </c>
      <c r="E14" s="78" t="e">
        <f>(F14)*180*H14*J14*N14*1.5-'Данные аптека'!H66</f>
        <v>#DIV/0!</v>
      </c>
      <c r="F14" s="80" t="e">
        <f t="shared" si="3"/>
        <v>#DIV/0!</v>
      </c>
      <c r="G14" s="76"/>
      <c r="H14" s="76">
        <v>4.3999999999999997E-2</v>
      </c>
      <c r="I14" s="76"/>
      <c r="J14" s="2" t="e">
        <f>(100-((Когорты!I15*100/Когорты!C19)/4))/100</f>
        <v>#DIV/0!</v>
      </c>
      <c r="K14" s="2"/>
      <c r="L14" s="76">
        <f t="shared" si="5"/>
        <v>1</v>
      </c>
      <c r="M14" s="72">
        <f>Когорты!E4*H14*180</f>
        <v>0</v>
      </c>
      <c r="N14" s="73" t="e">
        <f t="shared" si="6"/>
        <v>#DIV/0!</v>
      </c>
      <c r="O14" s="79">
        <f>'Данные аптека'!J66</f>
        <v>0</v>
      </c>
      <c r="P14" s="75" t="e">
        <f>Q14/Когорты!E4</f>
        <v>#DIV/0!</v>
      </c>
      <c r="Q14" s="75" t="e">
        <f>D14/180</f>
        <v>#DIV/0!</v>
      </c>
    </row>
    <row r="15" spans="1:17" ht="11.45" customHeight="1">
      <c r="A15" s="76">
        <v>13</v>
      </c>
      <c r="B15" s="75" t="s">
        <v>87</v>
      </c>
      <c r="C15" s="78" t="e">
        <f>D15-'Данные аптека'!H69</f>
        <v>#DIV/0!</v>
      </c>
      <c r="D15" s="78" t="e">
        <f>(F15)*180*H15*J15*L15*1.5-'Данные аптека'!H69</f>
        <v>#DIV/0!</v>
      </c>
      <c r="E15" s="78" t="e">
        <f>(F15)*180*H15*J15*N15*1.5-'Данные аптека'!H69</f>
        <v>#DIV/0!</v>
      </c>
      <c r="F15" s="80" t="e">
        <f t="shared" si="3"/>
        <v>#DIV/0!</v>
      </c>
      <c r="G15" s="76"/>
      <c r="H15" s="76">
        <v>4.3999999999999997E-2</v>
      </c>
      <c r="I15" s="76"/>
      <c r="J15" s="2" t="e">
        <f>(100-((Когорты!I15*100/Когорты!C19)/4))/100</f>
        <v>#DIV/0!</v>
      </c>
      <c r="K15" s="2"/>
      <c r="L15" s="76">
        <f t="shared" si="5"/>
        <v>1</v>
      </c>
      <c r="M15" s="72">
        <f>Когорты!E4*H15*180</f>
        <v>0</v>
      </c>
      <c r="N15" s="73" t="e">
        <f t="shared" si="6"/>
        <v>#DIV/0!</v>
      </c>
      <c r="O15" s="79">
        <f>'Данные аптека'!J69</f>
        <v>0</v>
      </c>
      <c r="P15" s="75" t="e">
        <f>Q15/Когорты!E4</f>
        <v>#DIV/0!</v>
      </c>
      <c r="Q15" s="75" t="e">
        <f>D15/180</f>
        <v>#DIV/0!</v>
      </c>
    </row>
    <row r="16" spans="1:17" ht="11.45" customHeight="1">
      <c r="A16" s="76">
        <v>14</v>
      </c>
      <c r="B16" s="75" t="s">
        <v>117</v>
      </c>
      <c r="C16" s="78" t="e">
        <f>D16-'Данные аптека'!H72</f>
        <v>#DIV/0!</v>
      </c>
      <c r="D16" s="78" t="e">
        <f>(F16)*180*H16*J16*L16*1.5-'Данные аптека'!H72</f>
        <v>#DIV/0!</v>
      </c>
      <c r="E16" s="78" t="e">
        <f>(F16)*180*H16*J16*N16*1.5-'Данные аптека'!H72</f>
        <v>#DIV/0!</v>
      </c>
      <c r="F16" s="80" t="e">
        <f t="shared" si="3"/>
        <v>#DIV/0!</v>
      </c>
      <c r="G16" s="76"/>
      <c r="H16" s="76">
        <v>8.7999999999999995E-2</v>
      </c>
      <c r="I16" s="76"/>
      <c r="J16" s="2" t="e">
        <f>(100-((Когорты!I15*100/Когорты!C19)/4))/100</f>
        <v>#DIV/0!</v>
      </c>
      <c r="K16" s="2"/>
      <c r="L16" s="76">
        <f t="shared" si="5"/>
        <v>1</v>
      </c>
      <c r="M16" s="72">
        <f>Когорты!E4*H16*180</f>
        <v>0</v>
      </c>
      <c r="N16" s="73" t="e">
        <f t="shared" si="6"/>
        <v>#DIV/0!</v>
      </c>
      <c r="O16" s="79">
        <f>'Данные аптека'!J72</f>
        <v>0</v>
      </c>
      <c r="P16" s="75" t="e">
        <f>Q16/Когорты!E4</f>
        <v>#DIV/0!</v>
      </c>
      <c r="Q16" s="75" t="e">
        <f>D16/180</f>
        <v>#DIV/0!</v>
      </c>
    </row>
    <row r="17" spans="1:17" ht="11.45" customHeight="1">
      <c r="A17" s="76">
        <v>15</v>
      </c>
      <c r="B17" s="75" t="s">
        <v>95</v>
      </c>
      <c r="C17" s="78" t="e">
        <f>D17-'Данные аптека'!H76</f>
        <v>#DIV/0!</v>
      </c>
      <c r="D17" s="78" t="e">
        <f>(F17)*80*H17*J17*L17*1.5-'Данные аптека'!H76</f>
        <v>#DIV/0!</v>
      </c>
      <c r="E17" s="78" t="e">
        <f>(F17)*80*H17*J17*N17*1.5-'Данные аптека'!H76</f>
        <v>#DIV/0!</v>
      </c>
      <c r="F17" s="80" t="e">
        <f t="shared" si="3"/>
        <v>#DIV/0!</v>
      </c>
      <c r="G17" s="76"/>
      <c r="H17" s="76">
        <v>0.5</v>
      </c>
      <c r="I17" s="76"/>
      <c r="J17" s="2" t="e">
        <f>(100-((Когорты!I15*100/Когорты!C19)/3))/100</f>
        <v>#DIV/0!</v>
      </c>
      <c r="K17" s="2"/>
      <c r="L17" s="76">
        <f t="shared" si="5"/>
        <v>1</v>
      </c>
      <c r="M17" s="72">
        <f>Когорты!E4*H17*80</f>
        <v>0</v>
      </c>
      <c r="N17" s="73" t="e">
        <f t="shared" si="6"/>
        <v>#DIV/0!</v>
      </c>
      <c r="O17" s="79">
        <f>'Данные аптека'!J76</f>
        <v>0</v>
      </c>
      <c r="P17" s="75" t="e">
        <f>Q17/Когорты!E4</f>
        <v>#DIV/0!</v>
      </c>
      <c r="Q17" s="75" t="e">
        <f>D17/80</f>
        <v>#DIV/0!</v>
      </c>
    </row>
    <row r="18" spans="1:17" ht="11.45" customHeight="1">
      <c r="A18" s="76">
        <v>16</v>
      </c>
      <c r="B18" s="75" t="s">
        <v>104</v>
      </c>
      <c r="C18" s="78" t="e">
        <f>D18-'Данные аптека'!H80</f>
        <v>#DIV/0!</v>
      </c>
      <c r="D18" s="78" t="e">
        <f>(F18)*360*H18*J18*L18*1.5-'Данные аптека'!H80</f>
        <v>#DIV/0!</v>
      </c>
      <c r="E18" s="78" t="e">
        <f>(F18)*360*H18*J18*N18*1.5-'Данные аптека'!H80</f>
        <v>#DIV/0!</v>
      </c>
      <c r="F18" s="80" t="e">
        <f t="shared" si="3"/>
        <v>#DIV/0!</v>
      </c>
      <c r="G18" s="76"/>
      <c r="H18" s="76">
        <v>0.9</v>
      </c>
      <c r="I18" s="76"/>
      <c r="J18" s="2" t="e">
        <f>(100-((Когорты!I15*100/Когорты!C19)/2))/100</f>
        <v>#DIV/0!</v>
      </c>
      <c r="K18" s="2"/>
      <c r="L18" s="76">
        <f t="shared" si="5"/>
        <v>1</v>
      </c>
      <c r="M18" s="72">
        <f>Когорты!E4*H18*360</f>
        <v>0</v>
      </c>
      <c r="N18" s="73" t="e">
        <f t="shared" si="6"/>
        <v>#DIV/0!</v>
      </c>
      <c r="O18" s="79">
        <f>'Данные аптека'!J80</f>
        <v>0</v>
      </c>
      <c r="P18" s="75" t="e">
        <f>Q18/Когорты!E4</f>
        <v>#DIV/0!</v>
      </c>
      <c r="Q18" s="75" t="e">
        <f>D18/360</f>
        <v>#DIV/0!</v>
      </c>
    </row>
  </sheetData>
  <sheetProtection password="9929" sheet="1" objects="1" scenarios="1" selectLockedCells="1" selectUnlockedCells="1"/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Когорты</vt:lpstr>
      <vt:lpstr>Данные аптека</vt:lpstr>
      <vt:lpstr>Потребность</vt:lpstr>
      <vt:lpstr>Рассчет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Zam_kl-exp</dc:creator>
  <cp:lastModifiedBy>Анастасия Самойлова</cp:lastModifiedBy>
  <cp:lastPrinted>2016-03-01T12:04:56Z</cp:lastPrinted>
  <dcterms:created xsi:type="dcterms:W3CDTF">2016-02-09T05:26:58Z</dcterms:created>
  <dcterms:modified xsi:type="dcterms:W3CDTF">2016-03-03T10:13:43Z</dcterms:modified>
</cp:coreProperties>
</file>